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1Xx1jdPwuV2gb2apKr4SR3DbYEYFq6hsLwiVZ+gVzYSadGT6qMtnVcQqlsYotymtN9sxAZ5oR/zWFa10fyMfdw==" workbookSaltValue="kaWgkMPdCFWGIwnmpYUE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6" i="11" s="1"/>
  <c r="F16" i="11"/>
  <c r="AQ16" i="11" s="1"/>
  <c r="EP31" i="8"/>
  <c r="AL14" i="16"/>
  <c r="AJ14" i="16"/>
  <c r="EP31" i="19"/>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2" i="2"/>
  <c r="X10" i="21"/>
  <c r="AO14" i="21"/>
  <c r="L20" i="2"/>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L17" i="14" l="1"/>
  <c r="T31" i="8"/>
  <c r="H28" i="2"/>
  <c r="T9" i="11"/>
  <c r="U9" i="17"/>
  <c r="U31" i="17" s="1"/>
  <c r="X19" i="16"/>
  <c r="S17" i="17"/>
  <c r="X21" i="20"/>
  <c r="BK10" i="11"/>
  <c r="BL22" i="11"/>
  <c r="Q16" i="17"/>
  <c r="BK20" i="11"/>
  <c r="BF12" i="11"/>
  <c r="AZ11" i="11"/>
  <c r="BV20" i="16"/>
  <c r="BU13" i="17"/>
  <c r="S21" i="17"/>
  <c r="BV11" i="16"/>
  <c r="BV21" i="16"/>
  <c r="BV13" i="16"/>
  <c r="BU25" i="17"/>
  <c r="AP18" i="20"/>
  <c r="BK18" i="11"/>
  <c r="R18" i="20"/>
  <c r="R23" i="20" s="1"/>
  <c r="BG9" i="11"/>
  <c r="BI16" i="11"/>
  <c r="BH11" i="16"/>
  <c r="BK13" i="11"/>
  <c r="BH19" i="16"/>
  <c r="BM29" i="11"/>
  <c r="BH19" i="11"/>
  <c r="BK9" i="11"/>
  <c r="BK16" i="11"/>
  <c r="V21"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V25" i="16"/>
  <c r="L9" i="2"/>
  <c r="AA11" i="16"/>
  <c r="X16" i="16"/>
  <c r="X23" i="16" s="1"/>
  <c r="L18" i="2"/>
  <c r="L17" i="2"/>
  <c r="L16"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BJ21" i="11"/>
  <c r="BK19" i="11"/>
  <c r="P18" i="17"/>
  <c r="S20" i="14"/>
  <c r="V20"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A32" i="20"/>
  <c r="AN32" i="20"/>
  <c r="AD32" i="20"/>
  <c r="AC32" i="20"/>
  <c r="O10" i="11"/>
  <c r="AP32" i="20"/>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<sst xmlns="http://schemas.openxmlformats.org/spreadsheetml/2006/main" count="2682" uniqueCount="1193">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</sst>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ZSlHTFaqYlktHmQdkpkliMUlpLES1/IxqkEco69423jF27Q675MS+TCxjkHlIYwv2H/z68C9b9XM79oknuN2w==" saltValue="sUKRY3HCE2VglBisJ+wr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2</v>
      </c>
      <c r="F10" s="240">
        <f>IF(ISNUMBER(Datos!K10),Datos!K10," - ")</f>
        <v>4</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35.75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22.5989110707804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572</v>
      </c>
      <c r="D17" s="239">
        <f>IF(ISNUMBER(IF(D_I="SI",Datos!I17,Datos!I17+Datos!AC17)),IF(D_I="SI",Datos!I17,Datos!I17+Datos!AC17)," - ")</f>
        <v>812</v>
      </c>
      <c r="E17" s="240">
        <f>IF(ISNUMBER(IF(D_I="SI",Datos!J17,Datos!J17+Datos!AD17)),IF(D_I="SI",Datos!J17,Datos!J17+Datos!AD17)," - ")</f>
        <v>574</v>
      </c>
      <c r="F17" s="240">
        <f>IF(ISNUMBER(IF(D_I="SI",Datos!K17,Datos!K17+Datos!AE17)),IF(D_I="SI",Datos!K17,Datos!K17+Datos!AE17)," - ")</f>
        <v>546</v>
      </c>
      <c r="G17" s="1390" t="str">
        <f>IF(Datos!E17&lt;&gt;"",Datos!E17,Datos!D17)</f>
        <v>04</v>
      </c>
      <c r="H17" s="241">
        <f>IF(ISNUMBER(IF(D_I="SI",Datos!L17,Datos!L17+Datos!AF17)),IF(D_I="SI",Datos!L17,Datos!L17+Datos!AF17)," - ")</f>
        <v>600</v>
      </c>
      <c r="I17" s="1400" t="str">
        <f>IF(ISNUMBER(Datos!AS17/Datos!BM17),Datos!AS17/Datos!BM17," - ")</f>
        <v xml:space="preserve"> - </v>
      </c>
      <c r="J17" s="1401">
        <f>IF(ISNUMBER(Datos!BY17/Datos!CN17),Datos!BY17/Datos!CN17," - ")</f>
        <v>0</v>
      </c>
      <c r="K17" s="244">
        <f t="shared" si="3"/>
        <v>4.8951048951048952E-2</v>
      </c>
      <c r="L17" s="1402">
        <f>IF(ISNUMBER(NºAsuntos!I17/NºAsuntos!G17),(NºAsuntos!I17/NºAsuntos!G17)*11," - ")</f>
        <v>12.087912087912089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43</v>
      </c>
      <c r="E18" s="240">
        <f>IF(ISNUMBER(IF(D_I="SI",Datos!J18,Datos!J18+Datos!AD18)),IF(D_I="SI",Datos!J18,Datos!J18+Datos!AD18)," - ")</f>
        <v>44</v>
      </c>
      <c r="F18" s="240">
        <f>IF(ISNUMBER(IF(D_I="SI",Datos!K18,Datos!K18+Datos!AE18)),IF(D_I="SI",Datos!K18,Datos!K18+Datos!AE18)," - ")</f>
        <v>46</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-4.6511627906976744E-2</v>
      </c>
      <c r="L18" s="1402">
        <f>IF(ISNUMBER(NºAsuntos!I18/NºAsuntos!G18),(NºAsuntos!I18/NºAsuntos!G18)*11," - ")</f>
        <v>9.804347826086957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615</v>
      </c>
      <c r="D23" s="1407">
        <f>SUBTOTAL(9,D16:D22)</f>
        <v>855</v>
      </c>
      <c r="E23" s="1408">
        <f>SUBTOTAL(9,E16:E22)</f>
        <v>618</v>
      </c>
      <c r="F23" s="1408">
        <f>SUBTOTAL(9,F16:F22)</f>
        <v>592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630</v>
      </c>
      <c r="D31" s="1435">
        <f>SUBTOTAL(9,D9:D30)</f>
        <v>870</v>
      </c>
      <c r="E31" s="1436">
        <f>SUBTOTAL(9,E9:E30)</f>
        <v>620</v>
      </c>
      <c r="F31" s="1436">
        <f>SUBTOTAL(9,F9:F30)</f>
        <v>596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Qw1ENAnUK1adgn02QN/JSoS59Qt4KYIZHrmlRxse6VKaLgIn5Q+cS83HfLS9Q0EJRF/Q5syuZ+IW/9VNOkFlQ==" saltValue="jWuNuUc+PEYJfWOSSnY6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Apv3vt51tSSKqkvNn4PApwEANvW3I+vJhaEYpN7DdguhcwwikWDUhYQX1T1UCPvjsYHOeqrgFlaiOr7dnXRUw==" saltValue="rYV/bMIbJhX9/VDi4UOW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2</v>
      </c>
      <c r="K10" s="194">
        <v>4</v>
      </c>
      <c r="L10" s="194">
        <v>13</v>
      </c>
      <c r="M10" s="194">
        <v>0</v>
      </c>
      <c r="N10" s="194">
        <v>0</v>
      </c>
      <c r="O10" s="194">
        <v>0</v>
      </c>
      <c r="P10" s="194">
        <v>0</v>
      </c>
      <c r="Q10" s="194">
        <v>0</v>
      </c>
      <c r="R10" s="194">
        <v>8</v>
      </c>
      <c r="S10" s="194">
        <v>9</v>
      </c>
      <c r="T10" s="194">
        <v>4</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4</v>
      </c>
      <c r="BA10" s="139">
        <f t="shared" si="0"/>
        <v>2</v>
      </c>
      <c r="BB10" s="139">
        <f t="shared" si="0"/>
        <v>11</v>
      </c>
      <c r="BC10" s="135">
        <f t="shared" si="0"/>
        <v>2</v>
      </c>
      <c r="BD10" s="136">
        <f>IF(ISNUMBER(BA10/AZ10),BA10/AZ10," - ")</f>
        <v>0.5</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1016</v>
      </c>
      <c r="J12" s="196">
        <v>521</v>
      </c>
      <c r="K12" s="196">
        <v>504</v>
      </c>
      <c r="L12" s="196">
        <v>1024</v>
      </c>
      <c r="M12" s="196">
        <v>121</v>
      </c>
      <c r="N12" s="196">
        <v>208</v>
      </c>
      <c r="O12" s="194">
        <v>232</v>
      </c>
      <c r="P12" s="196">
        <v>85</v>
      </c>
      <c r="Q12" s="196">
        <v>33</v>
      </c>
      <c r="R12" s="196">
        <v>1567</v>
      </c>
      <c r="S12" s="196">
        <v>829</v>
      </c>
      <c r="T12" s="196">
        <v>371</v>
      </c>
      <c r="U12" s="196">
        <v>404</v>
      </c>
      <c r="V12" s="196">
        <v>760</v>
      </c>
      <c r="W12" s="196">
        <v>102</v>
      </c>
      <c r="X12" s="202">
        <v>152</v>
      </c>
      <c r="Y12" s="204">
        <v>95</v>
      </c>
      <c r="Z12" s="194">
        <v>60</v>
      </c>
      <c r="AA12" s="194">
        <v>47</v>
      </c>
      <c r="AB12" s="194">
        <v>108</v>
      </c>
      <c r="AC12" s="196">
        <v>0</v>
      </c>
      <c r="AD12" s="196">
        <v>0</v>
      </c>
      <c r="AE12" s="196">
        <v>0</v>
      </c>
      <c r="AF12" s="202">
        <v>0</v>
      </c>
      <c r="AG12" s="215">
        <v>34</v>
      </c>
      <c r="AH12" s="196">
        <v>49</v>
      </c>
      <c r="AI12" s="196">
        <v>39</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863</v>
      </c>
      <c r="AZ12" s="137">
        <f t="shared" si="1"/>
        <v>420</v>
      </c>
      <c r="BA12" s="137">
        <f t="shared" si="1"/>
        <v>443</v>
      </c>
      <c r="BB12" s="137">
        <f t="shared" si="1"/>
        <v>815</v>
      </c>
      <c r="BC12" s="135">
        <f>IF(ISNUMBER(X12),X12," - ")</f>
        <v>152</v>
      </c>
      <c r="BD12" s="136">
        <f t="shared" si="2"/>
        <v>1.0547619047619048</v>
      </c>
      <c r="BE12" s="137">
        <f t="shared" si="3"/>
        <v>1.8397291196388261</v>
      </c>
      <c r="BF12" s="137">
        <f t="shared" si="4"/>
        <v>0.34311512415349887</v>
      </c>
      <c r="BG12" s="209">
        <f t="shared" si="5"/>
        <v>2.8961625282167045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1031</v>
      </c>
      <c r="J14" s="197">
        <f t="shared" si="7"/>
        <v>523</v>
      </c>
      <c r="K14" s="197">
        <f t="shared" si="7"/>
        <v>508</v>
      </c>
      <c r="L14" s="197">
        <f t="shared" si="7"/>
        <v>1037</v>
      </c>
      <c r="M14" s="197">
        <f t="shared" si="7"/>
        <v>121</v>
      </c>
      <c r="N14" s="197">
        <f t="shared" si="7"/>
        <v>208</v>
      </c>
      <c r="O14" s="197">
        <f t="shared" si="7"/>
        <v>232</v>
      </c>
      <c r="P14" s="197">
        <f t="shared" si="7"/>
        <v>85</v>
      </c>
      <c r="Q14" s="197">
        <f t="shared" si="7"/>
        <v>33</v>
      </c>
      <c r="R14" s="197">
        <f t="shared" si="7"/>
        <v>1575</v>
      </c>
      <c r="S14" s="197">
        <f t="shared" si="7"/>
        <v>838</v>
      </c>
      <c r="T14" s="197">
        <f t="shared" si="7"/>
        <v>375</v>
      </c>
      <c r="U14" s="197">
        <f t="shared" si="7"/>
        <v>406</v>
      </c>
      <c r="V14" s="197">
        <f t="shared" si="7"/>
        <v>771</v>
      </c>
      <c r="W14" s="197">
        <f t="shared" si="7"/>
        <v>104</v>
      </c>
      <c r="X14" s="197">
        <f t="shared" si="7"/>
        <v>152</v>
      </c>
      <c r="Y14" s="197">
        <f t="shared" si="7"/>
        <v>95</v>
      </c>
      <c r="Z14" s="197">
        <f t="shared" si="7"/>
        <v>60</v>
      </c>
      <c r="AA14" s="197">
        <f t="shared" si="7"/>
        <v>47</v>
      </c>
      <c r="AB14" s="197">
        <f t="shared" si="7"/>
        <v>108</v>
      </c>
      <c r="AC14" s="197">
        <f t="shared" si="7"/>
        <v>0</v>
      </c>
      <c r="AD14" s="197">
        <f t="shared" si="7"/>
        <v>0</v>
      </c>
      <c r="AE14" s="197">
        <f t="shared" si="7"/>
        <v>0</v>
      </c>
      <c r="AF14" s="197">
        <f>SUBTOTAL(9,AF9:AF13)</f>
        <v>0</v>
      </c>
      <c r="AG14" s="197">
        <f t="shared" ref="AG14:AT14" si="8">SUBTOTAL(9,AG8:AG13)</f>
        <v>34</v>
      </c>
      <c r="AH14" s="197">
        <f t="shared" si="8"/>
        <v>49</v>
      </c>
      <c r="AI14" s="197">
        <f t="shared" si="8"/>
        <v>39</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872</v>
      </c>
      <c r="AZ14" s="197">
        <f>SUBTOTAL(9,AZ8:AZ13)</f>
        <v>424</v>
      </c>
      <c r="BA14" s="197">
        <f>SUBTOTAL(9,BA8:BA13)</f>
        <v>445</v>
      </c>
      <c r="BB14" s="197">
        <f>SUBTOTAL(9,BB8:BB13)</f>
        <v>826</v>
      </c>
      <c r="BC14" s="197">
        <f>SUBTOTAL(9,BC8:BC13)</f>
        <v>154</v>
      </c>
      <c r="BD14" s="219">
        <f>IF(ISNUMBER(BA14/AZ14),BA14/AZ14," - ")</f>
        <v>1.0495283018867925</v>
      </c>
      <c r="BE14" s="220">
        <f>IF(ISNUMBER(BB14/BA14),BB14/BA14, " - ")</f>
        <v>1.8561797752808988</v>
      </c>
      <c r="BF14" s="220">
        <f>IF(ISNUMBER(BC14/BA14),BC14/BA14, " - ")</f>
        <v>0.34606741573033706</v>
      </c>
      <c r="BG14" s="221">
        <f>IF(ISNUMBER((AY14+AZ14)/BA14),(AY14+AZ14)/BA14," - ")</f>
        <v>2.9123595505617978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812</v>
      </c>
      <c r="J17" s="196">
        <v>574</v>
      </c>
      <c r="K17" s="196">
        <v>546</v>
      </c>
      <c r="L17" s="196">
        <v>600</v>
      </c>
      <c r="M17" s="196">
        <v>80</v>
      </c>
      <c r="N17" s="196">
        <v>380</v>
      </c>
      <c r="O17" s="194">
        <v>8</v>
      </c>
      <c r="P17" s="196">
        <v>12</v>
      </c>
      <c r="Q17" s="196">
        <v>29</v>
      </c>
      <c r="R17" s="196">
        <v>148</v>
      </c>
      <c r="S17" s="196">
        <v>601</v>
      </c>
      <c r="T17" s="196">
        <v>599</v>
      </c>
      <c r="U17" s="196">
        <v>549</v>
      </c>
      <c r="V17" s="196">
        <v>603</v>
      </c>
      <c r="W17" s="196">
        <v>82</v>
      </c>
      <c r="X17" s="202">
        <v>374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601</v>
      </c>
      <c r="AZ17" s="137">
        <f t="shared" si="10"/>
        <v>599</v>
      </c>
      <c r="BA17" s="137">
        <f t="shared" si="10"/>
        <v>549</v>
      </c>
      <c r="BB17" s="137">
        <f t="shared" si="10"/>
        <v>603</v>
      </c>
      <c r="BC17" s="135">
        <f>IF(ISNUMBER(W17),W17," - ")</f>
        <v>82</v>
      </c>
      <c r="BD17" s="136">
        <f t="shared" ref="BD17:BD22" si="12">IF(ISNUMBER(BA17/AZ17),BA17/AZ17," - ")</f>
        <v>0.91652754590984975</v>
      </c>
      <c r="BE17" s="137">
        <f t="shared" ref="BE17:BE22" si="13">IF(ISNUMBER(BB17/BA17),BB17/BA17, " - ")</f>
        <v>1.098360655737705</v>
      </c>
      <c r="BF17" s="137">
        <f t="shared" ref="BF17:BF22" si="14">IF(ISNUMBER(BC17/BA17),BC17/BA17, " - ")</f>
        <v>0.1493624772313297</v>
      </c>
      <c r="BG17" s="209">
        <f t="shared" si="11"/>
        <v>2.1857923497267762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43</v>
      </c>
      <c r="J18" s="196">
        <v>44</v>
      </c>
      <c r="K18" s="196">
        <v>46</v>
      </c>
      <c r="L18" s="196">
        <v>41</v>
      </c>
      <c r="M18" s="196">
        <v>15</v>
      </c>
      <c r="N18" s="196">
        <v>29</v>
      </c>
      <c r="O18" s="196">
        <v>0</v>
      </c>
      <c r="P18" s="196">
        <v>0</v>
      </c>
      <c r="Q18" s="196">
        <v>2</v>
      </c>
      <c r="R18" s="196">
        <v>4</v>
      </c>
      <c r="S18" s="196">
        <v>43</v>
      </c>
      <c r="T18" s="196">
        <v>38</v>
      </c>
      <c r="U18" s="196">
        <v>37</v>
      </c>
      <c r="V18" s="196">
        <v>44</v>
      </c>
      <c r="W18" s="196">
        <v>9</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38</v>
      </c>
      <c r="BA18" s="139">
        <f t="shared" si="15"/>
        <v>37</v>
      </c>
      <c r="BB18" s="139">
        <f t="shared" si="15"/>
        <v>44</v>
      </c>
      <c r="BC18" s="135">
        <f>IF(ISNUMBER(W18),W18," - ")</f>
        <v>9</v>
      </c>
      <c r="BD18" s="136">
        <f>IF(ISNUMBER(BA18/AZ18),BA18/AZ18," - ")</f>
        <v>0.97368421052631582</v>
      </c>
      <c r="BE18" s="137">
        <f>IF(ISNUMBER(BB18/BA18),BB18/BA18, " - ")</f>
        <v>1.1891891891891893</v>
      </c>
      <c r="BF18" s="137">
        <f>IF(ISNUMBER(BC18/BA18),BC18/BA18, " - ")</f>
        <v>0.24324324324324326</v>
      </c>
      <c r="BG18" s="209">
        <f>IF(ISNUMBER((AY18+AZ18)/BA18),(AY18+AZ18)/BA18," - ")</f>
        <v>2.189189189189189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855</v>
      </c>
      <c r="J23" s="197">
        <f t="shared" si="21"/>
        <v>618</v>
      </c>
      <c r="K23" s="197">
        <f t="shared" si="21"/>
        <v>592</v>
      </c>
      <c r="L23" s="197">
        <f t="shared" si="21"/>
        <v>641</v>
      </c>
      <c r="M23" s="197">
        <f t="shared" si="21"/>
        <v>95</v>
      </c>
      <c r="N23" s="197">
        <f t="shared" si="21"/>
        <v>409</v>
      </c>
      <c r="O23" s="197">
        <f t="shared" si="21"/>
        <v>8</v>
      </c>
      <c r="P23" s="197">
        <f t="shared" si="21"/>
        <v>12</v>
      </c>
      <c r="Q23" s="197">
        <f t="shared" si="21"/>
        <v>31</v>
      </c>
      <c r="R23" s="197">
        <f t="shared" si="21"/>
        <v>152</v>
      </c>
      <c r="S23" s="197">
        <f t="shared" si="21"/>
        <v>644</v>
      </c>
      <c r="T23" s="197">
        <f t="shared" si="21"/>
        <v>637</v>
      </c>
      <c r="U23" s="197">
        <f t="shared" si="21"/>
        <v>586</v>
      </c>
      <c r="V23" s="197">
        <f t="shared" si="21"/>
        <v>647</v>
      </c>
      <c r="W23" s="197">
        <f t="shared" si="21"/>
        <v>91</v>
      </c>
      <c r="X23" s="197">
        <f t="shared" si="21"/>
        <v>398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644</v>
      </c>
      <c r="AZ23" s="197">
        <f>SUBTOTAL(9,AZ15:AZ22)</f>
        <v>637</v>
      </c>
      <c r="BA23" s="197">
        <f>SUBTOTAL(9,BA15:BA22)</f>
        <v>586</v>
      </c>
      <c r="BB23" s="197">
        <f>SUBTOTAL(9,BB15:BB22)</f>
        <v>647</v>
      </c>
      <c r="BC23" s="197">
        <f>SUBTOTAL(9,BC15:BC22)</f>
        <v>91</v>
      </c>
      <c r="BD23" s="219">
        <f>IF(ISNUMBER(BA23/AZ23),BA23/AZ23," - ")</f>
        <v>0.9199372056514914</v>
      </c>
      <c r="BE23" s="220">
        <f>IF(ISNUMBER(BB23/BA23),BB23/BA23, " - ")</f>
        <v>1.1040955631399318</v>
      </c>
      <c r="BF23" s="220">
        <f>IF(ISNUMBER(BC23/BA23),BC23/BA23, " - ")</f>
        <v>0.1552901023890785</v>
      </c>
      <c r="BG23" s="221">
        <f>IF(ISNUMBER((AY23+AZ23)/BA23),(AY23+AZ23)/BA23," - ")</f>
        <v>2.1860068259385668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1886</v>
      </c>
      <c r="J31" s="144">
        <f t="shared" si="36"/>
        <v>1141</v>
      </c>
      <c r="K31" s="144">
        <f t="shared" si="36"/>
        <v>1100</v>
      </c>
      <c r="L31" s="144">
        <f t="shared" si="36"/>
        <v>1678</v>
      </c>
      <c r="M31" s="144">
        <f t="shared" si="36"/>
        <v>216</v>
      </c>
      <c r="N31" s="144">
        <f t="shared" si="36"/>
        <v>617</v>
      </c>
      <c r="O31" s="144">
        <f t="shared" si="36"/>
        <v>240</v>
      </c>
      <c r="P31" s="144">
        <f t="shared" si="36"/>
        <v>97</v>
      </c>
      <c r="Q31" s="144">
        <f t="shared" si="36"/>
        <v>64</v>
      </c>
      <c r="R31" s="144">
        <f t="shared" si="36"/>
        <v>1727</v>
      </c>
      <c r="S31" s="144">
        <f t="shared" si="36"/>
        <v>1482</v>
      </c>
      <c r="T31" s="144">
        <f t="shared" si="36"/>
        <v>1012</v>
      </c>
      <c r="U31" s="144">
        <f t="shared" si="36"/>
        <v>992</v>
      </c>
      <c r="V31" s="144">
        <f t="shared" si="36"/>
        <v>1418</v>
      </c>
      <c r="W31" s="144">
        <f t="shared" si="36"/>
        <v>195</v>
      </c>
      <c r="X31" s="144">
        <f t="shared" si="36"/>
        <v>550</v>
      </c>
      <c r="Y31" s="144">
        <f t="shared" si="36"/>
        <v>95</v>
      </c>
      <c r="Z31" s="144">
        <f t="shared" si="36"/>
        <v>60</v>
      </c>
      <c r="AA31" s="144">
        <f t="shared" si="36"/>
        <v>47</v>
      </c>
      <c r="AB31" s="144">
        <f t="shared" si="36"/>
        <v>108</v>
      </c>
      <c r="AC31" s="144">
        <f t="shared" si="36"/>
        <v>0</v>
      </c>
      <c r="AD31" s="144">
        <f t="shared" si="36"/>
        <v>0</v>
      </c>
      <c r="AE31" s="144">
        <f t="shared" si="36"/>
        <v>0</v>
      </c>
      <c r="AF31" s="144">
        <f t="shared" si="36"/>
        <v>0</v>
      </c>
      <c r="AG31" s="144">
        <f t="shared" si="36"/>
        <v>34</v>
      </c>
      <c r="AH31" s="144">
        <f t="shared" si="36"/>
        <v>49</v>
      </c>
      <c r="AI31" s="144">
        <f t="shared" si="36"/>
        <v>39</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1516</v>
      </c>
      <c r="AZ31" s="144">
        <f>SUBTOTAL(9,AZ9:AZ30)</f>
        <v>1061</v>
      </c>
      <c r="BA31" s="144">
        <f>SUBTOTAL(9,BA9:BA30)</f>
        <v>1031</v>
      </c>
      <c r="BB31" s="144">
        <f>SUBTOTAL(9,BB9:BB30)</f>
        <v>1473</v>
      </c>
      <c r="BC31" s="145">
        <f>SUBTOTAL(9,BC9:BC30)</f>
        <v>245</v>
      </c>
      <c r="BD31" s="227">
        <f>IF(ISNUMBER(BA31/AZ31),BA31/AZ31," - ")</f>
        <v>0.97172478793590955</v>
      </c>
      <c r="BE31" s="224">
        <f>IF(ISNUMBER(BB31/BA31),BB31/BA31, " - ")</f>
        <v>1.428709990300679</v>
      </c>
      <c r="BF31" s="224">
        <f>IF(ISNUMBER(BC31/BA31),BC31/BA31, " - ")</f>
        <v>0.23763336566440349</v>
      </c>
      <c r="BG31" s="145">
        <f>IF(ISNUMBER((AY31+AZ31)/BA31),(AY31+AZ31)/BA31," - ")</f>
        <v>2.4995150339476235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a3BXQZOLqAaYH32C4gAFMNqatF4UJYoU3AuN9oPWc8lJIWTuF2eBQVkCWB1HzjrAbWKaz2fjnZDoEl+z/UcA==" saltValue="JzQJgZnk8ZyQXN9YP9YM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SrSOP897KPAEQlApmsizlYV7L6NmbEGj0pnaWFvtlYRT+3SKYlbgy1GZmGk8p0BquKm4Skbyh0JhefxtWFrQ==" saltValue="BA+IGnOaqlQUjtvOTSUQ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ICOD DE LOS VINOS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13</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1567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208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0.94836488812392428</v>
      </c>
      <c r="BH12" s="764">
        <f>IF(ISNUMBER(((IF(J_V="SI",Datos!L12/Datos!K12,(Datos!L12+Datos!AB12)/(Datos!K12+Datos!AA12)))*11)/factor_trimestre),((IF(J_V="SI",Datos!L12/Datos!K12,(Datos!L12+Datos!AB12)/(Datos!K12+Datos!AA12)))*11)/factor_trimestre," - ")</f>
        <v>6.1633393829401095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3.4323432343234324E-2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33</v>
      </c>
      <c r="AD14" s="1198">
        <f t="shared" si="2"/>
        <v>0</v>
      </c>
      <c r="AE14" s="1198">
        <f t="shared" si="2"/>
        <v>0</v>
      </c>
      <c r="AF14" s="1198">
        <f t="shared" si="2"/>
        <v>13</v>
      </c>
      <c r="AG14" s="1198">
        <f t="shared" si="2"/>
        <v>0</v>
      </c>
      <c r="AH14" s="1198">
        <f t="shared" si="2"/>
        <v>108</v>
      </c>
      <c r="AI14" s="1198">
        <f t="shared" si="2"/>
        <v>0</v>
      </c>
      <c r="AJ14" s="1198">
        <f t="shared" si="2"/>
        <v>0</v>
      </c>
      <c r="AK14" s="1198">
        <f t="shared" si="2"/>
        <v>0</v>
      </c>
      <c r="AL14" s="1198">
        <f t="shared" si="2"/>
        <v>0</v>
      </c>
      <c r="AM14" s="1198">
        <f t="shared" si="2"/>
        <v>1575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121</v>
      </c>
      <c r="BD14" s="1198">
        <f t="shared" si="2"/>
        <v>208</v>
      </c>
      <c r="BE14" s="1198">
        <f t="shared" si="2"/>
        <v>0</v>
      </c>
      <c r="BF14" s="1198">
        <f t="shared" si="2"/>
        <v>0</v>
      </c>
      <c r="BG14" s="1198">
        <f>IF(ISNUMBER(Datos!K14/Datos!J14),Datos!K14/Datos!J14," - ")</f>
        <v>0.97131931166347996</v>
      </c>
      <c r="BH14" s="1202">
        <f>IF(ISNUMBER(((Datos!L14/Datos!K14)*11)/factor_trimestre),((Datos!L14/Datos!K14)*11)/factor_trimestre," - ")</f>
        <v>6.1240157480314963</v>
      </c>
      <c r="BI14" s="1198">
        <f>IF(ISNUMBER('Resol  Asuntos'!D14/NºAsuntos!G14),'Resol  Asuntos'!D14/NºAsuntos!G14," - ")</f>
        <v>0.21801801801801801</v>
      </c>
      <c r="BJ14" s="1198" t="str">
        <f>IF(ISNUMBER(Datos!CI14/Datos!CJ14),Datos!CI14/Datos!CJ14," - ")</f>
        <v xml:space="preserve"> - </v>
      </c>
      <c r="BK14" s="1198">
        <f>SUBTOTAL(9,BK8:BK13)</f>
        <v>0</v>
      </c>
      <c r="BL14" s="1198">
        <f>IF(ISNUMBER((I14-AB14+L14)/(F14)),(I14-AB14+L14)/(F14)," - ")</f>
        <v>-0.26666666666666666</v>
      </c>
      <c r="BM14" s="1203">
        <f>SUBTOTAL(9,BM9:BM13)</f>
        <v>3.4323432343234324E-2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572</v>
      </c>
      <c r="G17" s="743">
        <f>IF(ISNUMBER(IF(D_I="SI",Datos!I17,Datos!I17+Datos!AC17)),IF(D_I="SI",Datos!I17,Datos!I17+Datos!AC17)," - ")</f>
        <v>812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546</v>
      </c>
      <c r="AC17" s="240">
        <f>IF(ISNUMBER(Datos!Q17),Datos!Q17," - ")</f>
        <v>29</v>
      </c>
      <c r="AD17" s="374"/>
      <c r="AE17" s="562"/>
      <c r="AF17" s="741">
        <f>IF(ISNUMBER(IF(D_I="SI",Datos!L17,Datos!L17+Datos!AF17)),IF(D_I="SI",Datos!L17,Datos!L17+Datos!AF17)," - ")</f>
        <v>600</v>
      </c>
      <c r="AG17" s="374"/>
      <c r="AH17" s="374"/>
      <c r="AI17" s="374"/>
      <c r="AJ17" s="549"/>
      <c r="AK17" s="374"/>
      <c r="AL17" s="545"/>
      <c r="AM17" s="375">
        <f>IF(ISNUMBER(Datos!R17),Datos!R17," - ")</f>
        <v>148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380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0.95121951219512191</v>
      </c>
      <c r="BH17" s="764">
        <f>IF(ISNUMBER(((IF(D_I="SI",Datos!L17/Datos!K17,(Datos!L17+Datos!AF17)/(Datos!K17+Datos!AE17)))*11)/factor_trimestre),((IF(D_I="SI",Datos!L17/Datos!K17,(Datos!L17+Datos!AF17)/(Datos!K17+Datos!AE17)))*11)/factor_trimestre," - ")</f>
        <v>3.2967032967032974</v>
      </c>
      <c r="BI17" s="266">
        <f>IF(ISNUMBER('Resol  Asuntos'!D17/NºAsuntos!G17),'Resol  Asuntos'!D17/NºAsuntos!G17," - ")</f>
        <v>0.14652014652014653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2</v>
      </c>
      <c r="AD18" s="549"/>
      <c r="AE18" s="562"/>
      <c r="AF18" s="551">
        <f>IF(ISNUMBER(Datos!L18),Datos!L18,"-")</f>
        <v>41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1.0454545454545454</v>
      </c>
      <c r="BH18" s="764">
        <f>IF(ISNUMBER(((IF(D_I="SI",Datos!L18/Datos!K18,(Datos!L18+Datos!AF18)/(Datos!K18+Datos!AE18)))*11)/factor_trimestre),((IF(D_I="SI",Datos!L18/Datos!K18,(Datos!L18+Datos!AF18)/(Datos!K18+Datos!AE18)))*11)/factor_trimestre," - ")</f>
        <v>2.6739130434782612</v>
      </c>
      <c r="BI18" s="763">
        <f>IF(ISNUMBER('Resol  Asuntos'!D18/NºAsuntos!G18),'Resol  Asuntos'!D18/NºAsuntos!G18," - ")</f>
        <v>0.32608695652173914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572</v>
      </c>
      <c r="G23" s="1197">
        <f>SUBTOTAL(9,G16:G22)</f>
        <v>855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592</v>
      </c>
      <c r="AC23" s="1198">
        <f t="shared" si="5"/>
        <v>31</v>
      </c>
      <c r="AD23" s="1198">
        <f t="shared" si="5"/>
        <v>0</v>
      </c>
      <c r="AE23" s="1198">
        <f t="shared" si="5"/>
        <v>0</v>
      </c>
      <c r="AF23" s="1198">
        <f t="shared" si="5"/>
        <v>641</v>
      </c>
      <c r="AG23" s="1198">
        <f t="shared" si="5"/>
        <v>0</v>
      </c>
      <c r="AH23" s="1198">
        <f t="shared" si="5"/>
        <v>0</v>
      </c>
      <c r="AI23" s="1198">
        <f t="shared" si="5"/>
        <v>0</v>
      </c>
      <c r="AJ23" s="1198">
        <f t="shared" si="5"/>
        <v>0</v>
      </c>
      <c r="AK23" s="1198">
        <f t="shared" si="5"/>
        <v>0</v>
      </c>
      <c r="AL23" s="1198">
        <f t="shared" si="5"/>
        <v>0</v>
      </c>
      <c r="AM23" s="1198">
        <f t="shared" si="5"/>
        <v>152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95</v>
      </c>
      <c r="BD23" s="1198">
        <f t="shared" si="5"/>
        <v>409</v>
      </c>
      <c r="BE23" s="1198">
        <f t="shared" si="5"/>
        <v>0</v>
      </c>
      <c r="BF23" s="1198">
        <f t="shared" si="5"/>
        <v>0</v>
      </c>
      <c r="BG23" s="1198">
        <f>IF(ISNUMBER(Datos!K23/Datos!J23),Datos!K23/Datos!J23," - ")</f>
        <v>0.95792880258899671</v>
      </c>
      <c r="BH23" s="1202">
        <f>IF(ISNUMBER(((Datos!L23/Datos!K23)*11)/factor_trimestre),((Datos!L23/Datos!K23)*11)/factor_trimestre," - ")</f>
        <v>3.2483108108108105</v>
      </c>
      <c r="BI23" s="1198">
        <f>SUBTOTAL(9,BI16:BI22)</f>
        <v>0.47260710304188569</v>
      </c>
      <c r="BJ23" s="1198">
        <f>SUBTOTAL(9,BJ16:BJ22)</f>
        <v>0</v>
      </c>
      <c r="BK23" s="1198">
        <f>SUBTOTAL(9,BK16:BK22)</f>
        <v>0</v>
      </c>
      <c r="BL23" s="1198">
        <f>IF(ISNUMBER((I23-AB23+L23)/(F23)),(I23-AB23+L23)/(F23)," - ")</f>
        <v>-1.034965034965035</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587</v>
      </c>
      <c r="G31" s="1117">
        <f t="shared" si="18"/>
        <v>870</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596</v>
      </c>
      <c r="AC31" s="1118">
        <f t="shared" si="19"/>
        <v>64</v>
      </c>
      <c r="AD31" s="1118">
        <f t="shared" si="19"/>
        <v>0</v>
      </c>
      <c r="AE31" s="1118">
        <f t="shared" si="19"/>
        <v>0</v>
      </c>
      <c r="AF31" s="1125">
        <f t="shared" si="19"/>
        <v>654</v>
      </c>
      <c r="AG31" s="1125">
        <f t="shared" si="19"/>
        <v>0</v>
      </c>
      <c r="AH31" s="1125">
        <f t="shared" si="19"/>
        <v>108</v>
      </c>
      <c r="AI31" s="1125">
        <f t="shared" si="19"/>
        <v>0</v>
      </c>
      <c r="AJ31" s="1118">
        <f t="shared" si="19"/>
        <v>0</v>
      </c>
      <c r="AK31" s="1125">
        <f t="shared" si="19"/>
        <v>0</v>
      </c>
      <c r="AL31" s="1125">
        <f t="shared" si="19"/>
        <v>0</v>
      </c>
      <c r="AM31" s="1125">
        <f t="shared" si="19"/>
        <v>1727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216</v>
      </c>
      <c r="BD31" s="1117">
        <f t="shared" si="19"/>
        <v>617</v>
      </c>
      <c r="BE31" s="1117">
        <f t="shared" si="19"/>
        <v>0</v>
      </c>
      <c r="BF31" s="1127">
        <f t="shared" si="19"/>
        <v>0</v>
      </c>
      <c r="BG31" s="1223">
        <f>IF(ISNUMBER(Datos!K31/Datos!J31),Datos!K31/Datos!J31," - ")</f>
        <v>0.96406660823838741</v>
      </c>
      <c r="BH31" s="1223">
        <f>IF(ISNUMBER(((Datos!L31/Datos!K31)*11)/factor_trimestre),((Datos!L31/Datos!K31)*11)/factor_trimestre," - ")</f>
        <v>4.5763636363636371</v>
      </c>
      <c r="BI31" s="1103">
        <f>IF(ISNUMBER(Datos!J31/Datos!I31),Datos!J31/Datos!I31," - ")</f>
        <v>0.60498409331919412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-1.0153321976149914</v>
      </c>
      <c r="BM31" s="1188">
        <f>IF(ISNUMBER((Datos!P31-Datos!Q31+R31)/(Datos!R31-Datos!P31+Datos!Q31-R31)),(Datos!P31-Datos!Q31+R31)/(Datos!R31-Datos!P31+Datos!Q31-R31)," - ")</f>
        <v>1.948051948051948E-2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291.58372153922909</v>
      </c>
      <c r="G33" s="674">
        <f>IF(ISNUMBER(STDEV(G8:G30)),STDEV(G8:G30),"-")</f>
        <v>400.03202252772098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273.1749831675138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55.554349193251419</v>
      </c>
      <c r="BD33" s="673"/>
      <c r="BE33" s="673">
        <f>IF(ISNUMBER(STDEV(BE8:BE30)),STDEV(BE8:BE30),"-")</f>
        <v>0</v>
      </c>
      <c r="BF33" s="678">
        <f>IF(ISNUMBER(STDEV(BF8:BF30)),STDEV(BF8:BF30),"-")</f>
        <v>0</v>
      </c>
      <c r="BG33" s="1052">
        <f>IF(ISNUMBER(STDEV(BG8:BG30)),STDEV(BG8:BG30),"-")</f>
        <v>0.42007334917883837</v>
      </c>
      <c r="BH33" s="1058">
        <f>IF(ISNUMBER(STDEV(BH8:BH30)),STDEV(BH8:BH30),"-")</f>
        <v>2.6943104596170939</v>
      </c>
      <c r="BI33" s="273">
        <f>IF(ISNUMBER(STDEV(BI8:BI30)),STDEV(BI8:BI30),"-")</f>
        <v>0.1419071113778837</v>
      </c>
      <c r="BJ33" s="244" t="str">
        <f>IF(ISNUMBER(BL33/BM33),BL33/BM33," - ")</f>
        <v xml:space="preserve"> - </v>
      </c>
      <c r="BK33" s="709"/>
      <c r="BL33" s="681">
        <f>IF(ISNUMBER(STDEV(BL8:BL30)),STDEV(BL8:BL30),"-")</f>
        <v>0.54326898619833586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unNsy6twltmhWm/PB72XuXUfJLpmiQLlAP5AwzSoMf2A+bCZXQM90l+jTIXmV5c4ZzH1EXdDYFZJF80p6qu9Q==" saltValue="NwO20ip/YwSLc+CwDtwU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ICOD DE LOS VINOS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13</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1567</v>
      </c>
      <c r="AF12" s="693" t="str">
        <f>IF(ISNUMBER(Datos!BV12),Datos!BV12," - ")</f>
        <v xml:space="preserve"> - </v>
      </c>
      <c r="AG12" s="552" t="str">
        <f>IF(ISNUMBER(Datos!DV12),Datos!DV12," - ")</f>
        <v xml:space="preserve"> - </v>
      </c>
      <c r="AH12" s="553"/>
      <c r="AI12" s="554"/>
      <c r="AJ12" s="552">
        <f>IF(ISNUMBER(Datos!M12),Datos!M12," - ")</f>
        <v>121</v>
      </c>
      <c r="AK12" s="693">
        <f>IF(ISNUMBER(Datos!N12),Datos!N12," - ")</f>
        <v>208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6.1633393829401095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3.4323432343234324E-2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33</v>
      </c>
      <c r="AA14" s="1199">
        <f t="shared" si="3"/>
        <v>13</v>
      </c>
      <c r="AB14" s="1199">
        <f t="shared" si="3"/>
        <v>0</v>
      </c>
      <c r="AC14" s="1199">
        <f t="shared" si="3"/>
        <v>0</v>
      </c>
      <c r="AD14" s="1199">
        <f t="shared" si="3"/>
        <v>0</v>
      </c>
      <c r="AE14" s="1199">
        <f t="shared" si="3"/>
        <v>1575</v>
      </c>
      <c r="AF14" s="1211">
        <f t="shared" si="3"/>
        <v>0</v>
      </c>
      <c r="AG14" s="1211">
        <f t="shared" si="3"/>
        <v>0</v>
      </c>
      <c r="AH14" s="1211">
        <f t="shared" si="3"/>
        <v>0</v>
      </c>
      <c r="AI14" s="1211">
        <f t="shared" si="3"/>
        <v>0</v>
      </c>
      <c r="AJ14" s="1211">
        <f t="shared" si="3"/>
        <v>121</v>
      </c>
      <c r="AK14" s="1211">
        <f t="shared" si="3"/>
        <v>208</v>
      </c>
      <c r="AL14" s="1211">
        <f t="shared" si="3"/>
        <v>0</v>
      </c>
      <c r="AM14" s="1211">
        <f t="shared" si="3"/>
        <v>0</v>
      </c>
      <c r="AN14" s="1211">
        <f t="shared" si="3"/>
        <v>0</v>
      </c>
      <c r="AO14" s="1203">
        <f>IF(ISNUMBER(((NºAsuntos!I14/NºAsuntos!G14)*11)/factor_trimestre),((NºAsuntos!I14/NºAsuntos!G14)*11)/factor_trimestre," - ")</f>
        <v>6.1891891891891895</v>
      </c>
      <c r="AP14" s="1213" t="str">
        <f>IF(ISNUMBER(Datos!CI14/Datos!CJ14),Datos!CI14/Datos!CJ14," - ")</f>
        <v xml:space="preserve"> - </v>
      </c>
      <c r="AQ14" s="1236">
        <f t="shared" ref="AQ14:AV14" si="4">SUBTOTAL(9,AQ9:AQ13)</f>
        <v>0</v>
      </c>
      <c r="AR14" s="1236">
        <f t="shared" si="4"/>
        <v>3.4323432343234324E-2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572</v>
      </c>
      <c r="G17" s="552">
        <f>IF(ISNUMBER(IF(D_I="SI",Datos!I17,Datos!I17+Datos!AC17)),IF(D_I="SI",Datos!I17,Datos!I17+Datos!AC17)," - ")</f>
        <v>812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546</v>
      </c>
      <c r="Z17" s="805">
        <f>IF(ISNUMBER(Datos!Q17),Datos!Q17," - ")</f>
        <v>29</v>
      </c>
      <c r="AA17" s="551">
        <f>IF(ISNUMBER(IF(D_I="SI",Datos!L17,Datos!L17+Datos!AF17)),IF(D_I="SI",Datos!L17,Datos!L17+Datos!AF17)," - ")</f>
        <v>600</v>
      </c>
      <c r="AB17" s="549"/>
      <c r="AC17" s="549"/>
      <c r="AD17" s="563"/>
      <c r="AE17" s="563">
        <f>IF(ISNUMBER(Datos!R17),Datos!R17," - ")</f>
        <v>148</v>
      </c>
      <c r="AF17" s="693" t="str">
        <f>IF(ISNUMBER(Datos!BV17),Datos!BV17," - ")</f>
        <v xml:space="preserve"> - </v>
      </c>
      <c r="AG17" s="552"/>
      <c r="AH17" s="553"/>
      <c r="AI17" s="554"/>
      <c r="AJ17" s="552">
        <f>IF(ISNUMBER(Datos!M17),Datos!M17," - ")</f>
        <v>80</v>
      </c>
      <c r="AK17" s="693">
        <f>IF(ISNUMBER(Datos!N17),Datos!N17," - ")</f>
        <v>380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3.2967032967032974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2</v>
      </c>
      <c r="AA18" s="551">
        <f>IF(ISNUMBER(Datos!L18),Datos!L18,"-")</f>
        <v>41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15</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2.6739130434782612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572</v>
      </c>
      <c r="G23" s="1197">
        <f>SUBTOTAL(9,G16:G22)</f>
        <v>855</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592</v>
      </c>
      <c r="Z23" s="1240">
        <f t="shared" si="6"/>
        <v>31</v>
      </c>
      <c r="AA23" s="1240">
        <f t="shared" si="6"/>
        <v>641</v>
      </c>
      <c r="AB23" s="1240">
        <f t="shared" si="6"/>
        <v>0</v>
      </c>
      <c r="AC23" s="1240">
        <f t="shared" si="6"/>
        <v>0</v>
      </c>
      <c r="AD23" s="1240">
        <f t="shared" si="6"/>
        <v>0</v>
      </c>
      <c r="AE23" s="1240">
        <f t="shared" si="6"/>
        <v>152</v>
      </c>
      <c r="AF23" s="1240">
        <f t="shared" si="6"/>
        <v>0</v>
      </c>
      <c r="AG23" s="1240">
        <f t="shared" si="6"/>
        <v>0</v>
      </c>
      <c r="AH23" s="1240">
        <f t="shared" si="6"/>
        <v>0</v>
      </c>
      <c r="AI23" s="1240">
        <f t="shared" si="6"/>
        <v>0</v>
      </c>
      <c r="AJ23" s="1240">
        <f t="shared" si="6"/>
        <v>95</v>
      </c>
      <c r="AK23" s="1240">
        <f t="shared" si="6"/>
        <v>409</v>
      </c>
      <c r="AL23" s="1240">
        <f t="shared" si="6"/>
        <v>0</v>
      </c>
      <c r="AM23" s="1240">
        <f t="shared" si="6"/>
        <v>0</v>
      </c>
      <c r="AN23" s="1240">
        <f t="shared" si="6"/>
        <v>0</v>
      </c>
      <c r="AO23" s="1242">
        <f>IF(ISNUMBER(((NºAsuntos!I23/NºAsuntos!G23)*11)/factor_trimestre),((NºAsuntos!I23/NºAsuntos!G23)*11)/factor_trimestre," - ")</f>
        <v>3.2483108108108105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587</v>
      </c>
      <c r="G31" s="1117">
        <f t="shared" si="12"/>
        <v>870</v>
      </c>
      <c r="H31" s="1118">
        <f t="shared" si="12"/>
        <v>0</v>
      </c>
      <c r="I31" s="1117">
        <f t="shared" si="12"/>
        <v>0</v>
      </c>
      <c r="J31" s="1119">
        <f t="shared" si="12"/>
        <v>0</v>
      </c>
      <c r="K31" s="1117">
        <f t="shared" si="12"/>
        <v>0</v>
      </c>
      <c r="L31" s="1120">
        <f t="shared" si="12"/>
        <v>0</v>
      </c>
      <c r="M31" s="1117">
        <f t="shared" si="12"/>
        <v>0</v>
      </c>
      <c r="N31" s="1118">
        <f t="shared" si="12"/>
        <v>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596</v>
      </c>
      <c r="Z31" s="1124">
        <f t="shared" si="13"/>
        <v>64</v>
      </c>
      <c r="AA31" s="1125">
        <f t="shared" si="13"/>
        <v>654</v>
      </c>
      <c r="AB31" s="1125">
        <f t="shared" si="13"/>
        <v>0</v>
      </c>
      <c r="AC31" s="1125">
        <f t="shared" si="13"/>
        <v>0</v>
      </c>
      <c r="AD31" s="1126">
        <f t="shared" si="13"/>
        <v>0</v>
      </c>
      <c r="AE31" s="1126">
        <f t="shared" si="13"/>
        <v>1727</v>
      </c>
      <c r="AF31" s="1127">
        <f t="shared" si="13"/>
        <v>0</v>
      </c>
      <c r="AG31" s="1128">
        <f t="shared" si="13"/>
        <v>0</v>
      </c>
      <c r="AH31" s="1129">
        <f t="shared" si="13"/>
        <v>0</v>
      </c>
      <c r="AI31" s="1127">
        <f t="shared" si="13"/>
        <v>0</v>
      </c>
      <c r="AJ31" s="1117">
        <f t="shared" si="13"/>
        <v>216</v>
      </c>
      <c r="AK31" s="1117">
        <f t="shared" si="13"/>
        <v>617</v>
      </c>
      <c r="AL31" s="1117">
        <f t="shared" si="13"/>
        <v>0</v>
      </c>
      <c r="AM31" s="1130">
        <f t="shared" si="13"/>
        <v>0</v>
      </c>
      <c r="AN31" s="1120">
        <f>IF(ISNUMBER(Datos!K31/Datos!J31),Datos!K31/Datos!J31," - ")</f>
        <v>0.96406660823838741</v>
      </c>
      <c r="AO31" s="1120">
        <f>IF(ISNUMBER(FIND("06",Criterios!A8,1)),(IF(ISNUMBER(((Datos!R31/Datos!Q31)*11)/factor_trimestre),((Datos!R31/Datos!Q31)*11)/factor_trimestre," - ")),(IF(ISNUMBER(((Datos!L31/Datos!K31)*11)/factor_trimestre),((Datos!L31/Datos!K31)*11)/factor_trimestre," - ")))</f>
        <v>4.5763636363636371</v>
      </c>
      <c r="AP31" s="1131" t="str">
        <f>IF(ISNUMBER(Datos!CI31/Datos!CJ31),Datos!CI31/Datos!CJ31," - ")</f>
        <v xml:space="preserve"> - </v>
      </c>
      <c r="AQ31" s="1131">
        <f>IF(OR(ISNUMBER(FIND("01",Criterios!A8,1)),ISNUMBER(FIND("02",Criterios!A8,1)),ISNUMBER(FIND("03",Criterios!A8,1)),ISNUMBER(FIND("04",Criterios!A8,1))),(J31-Y31+K31)/(F31-K31),(I31-Y31+K31)/(F31-K31))</f>
        <v>-1.0153321976149914</v>
      </c>
      <c r="AR31" s="1131">
        <f>IF(ISNUMBER((Datos!P31-Datos!Q31+O31)/(Datos!R31-Datos!P31+Datos!Q31-O31)),(Datos!P31-Datos!Q31+O31)/(Datos!R31-Datos!P31+Datos!Q31-O31)," - ")</f>
        <v>1.948051948051948E-2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291.58372153922909</v>
      </c>
      <c r="G33" s="674">
        <f>IF(ISNUMBER(STDEV(G8:G30)),STDEV(G8:G30),"-")</f>
        <v>400.03202252772098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55.554349193251419</v>
      </c>
      <c r="AK33" s="276"/>
      <c r="AL33" s="276">
        <f>IF(ISNUMBER(STDEV(AL8:AL30)),STDEV(AL8:AL30),"-")</f>
        <v>0</v>
      </c>
      <c r="AM33" s="278">
        <f>IF(ISNUMBER(STDEV(AM8:AM30)),STDEV(AM8:AM30),"-")</f>
        <v>0</v>
      </c>
      <c r="AN33" s="660">
        <f>IF(ISNUMBER(STDEV(AN8:AN30)),STDEV(AN8:AN30),"-")</f>
        <v>0</v>
      </c>
      <c r="AO33" s="661">
        <f>IF(ISNUMBER(STDEV(AO8:AO30)),STDEV(AO8:AO30),"-")</f>
        <v>2.698862863522574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ZJ0f8GdcPjOVnBhqqu1ka5t5oJ0jqzepS2QAy86VyYZ8on5JJZNc36crS6LPIrlIFMXvejK5B0Qp/wn11HiTg==" saltValue="F7DrSAJ0v5HXnD7GlCXI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ovmweenVJjYaxVoWrPXtvNJ17dzsJqAPc9UdZKZyR2df4CaDC+3FEmzzIAhafApG0fCjzDxtWLmPOFEgG0awg==" saltValue="JguBkUcXFb/SuqbqMWRp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7p8wcid/X6ALptgknhAIZjoDyJAZVzjTfD4B5fx4LKi28ZCe29r91dR1JmxVayZPFPUOKtxaSqzqcGdtAajw==" saltValue="11/RTd5zOEaTRUsjk+3G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ICOD DE LOS VINOS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0.21801801801801801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0.15416201896139142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Q6ymxVabrnR+EFrEAW3LNn+q6eZLDgAd4AHMBYCc/wzGMg2LqWfJ8W/IaPVuYeNmt38QJRQH7LuQJa8DDZLA==" saltValue="HVkhiRqR/hQ7rrVqaYP0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nf91U1Jxt9P7nLEeQMbOWQ8TEgnsLd2H70yIlBaPGenYh9v9DjUNryucMXKpvCsLDkf2BeFm5DJvH7CzuRBhw==" saltValue="6FDNHZY9gFE1Xw2jAh1n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ICOD DE LOS VINOS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2</v>
      </c>
      <c r="F10" s="452">
        <f>IF(ISNUMBER(E10/B10),E10/B10," - ")</f>
        <v>2</v>
      </c>
      <c r="G10" s="451">
        <f>IF(ISNUMBER(Datos!K10),Datos!K10," - ")</f>
        <v>4</v>
      </c>
      <c r="H10" s="452">
        <f>IF(ISNUMBER(G10/B10),G10/B10," - ")</f>
        <v>4</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1111</v>
      </c>
      <c r="D12" s="452">
        <f>IF(ISNUMBER(C12/Datos!BH12),C12/Datos!BH12," - ")</f>
        <v>555.5</v>
      </c>
      <c r="E12" s="451">
        <f>IF(ISNUMBER(IF(J_V="SI",Datos!J12,Datos!J12+Datos!Z12)),IF(J_V="SI",Datos!J12,Datos!J12+Datos!Z12)," - ")</f>
        <v>581</v>
      </c>
      <c r="F12" s="452">
        <f>IF(ISNUMBER(E12/B12),E12/B12," - ")</f>
        <v>290.5</v>
      </c>
      <c r="G12" s="451">
        <f>IF(ISNUMBER(IF(J_V="SI",Datos!K12,Datos!K12+Datos!AA12)),IF(J_V="SI",Datos!K12,Datos!K12+Datos!AA12)," - ")</f>
        <v>551</v>
      </c>
      <c r="H12" s="452">
        <f>IF(ISNUMBER(G12/B12),G12/B12," - ")</f>
        <v>275.5</v>
      </c>
      <c r="I12" s="451">
        <f>IF(ISNUMBER(IF(J_V="SI",Datos!L12,Datos!L12+Datos!AB12)),IF(J_V="SI",Datos!L12,Datos!L12+Datos!AB12)," - ")</f>
        <v>1132</v>
      </c>
      <c r="J12" s="452">
        <f>IF(ISNUMBER(I12/B12),I12/B12," - ")</f>
        <v>566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1126</v>
      </c>
      <c r="D14" s="1147" t="str">
        <f>IF(ISNUMBER(C14/Datos!BI14),C14/Datos!BI14," - ")</f>
        <v xml:space="preserve"> - </v>
      </c>
      <c r="E14" s="1146">
        <f>SUBTOTAL(9,E8:E13)</f>
        <v>583</v>
      </c>
      <c r="F14" s="1147">
        <f>IF(ISNUMBER(E14/B14),E14/B14," - ")</f>
        <v>291.5</v>
      </c>
      <c r="G14" s="1146">
        <f>SUBTOTAL(9,G8:G13)</f>
        <v>555</v>
      </c>
      <c r="H14" s="1147">
        <f>IF(ISNUMBER(G14/B14),G14/B14," - ")</f>
        <v>277.5</v>
      </c>
      <c r="I14" s="1146">
        <f>SUBTOTAL(9,I8:I13)</f>
        <v>1145</v>
      </c>
      <c r="J14" s="1147">
        <f>IF(ISNUMBER(I14/B14),I14/B14," - ")</f>
        <v>572.5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812</v>
      </c>
      <c r="D17" s="452">
        <f>IF(ISNUMBER(C17/Datos!BH17),C17/Datos!BH17," - ")</f>
        <v>406</v>
      </c>
      <c r="E17" s="451">
        <f>IF(ISNUMBER(IF(D_I="SI",Datos!J17,Datos!J17+Datos!AD17)),IF(D_I="SI",Datos!J17,Datos!J17+Datos!AD17)," - ")</f>
        <v>574</v>
      </c>
      <c r="F17" s="452">
        <f>IF(ISNUMBER(E17/B17),E17/B17," - ")</f>
        <v>287</v>
      </c>
      <c r="G17" s="451">
        <f>IF(ISNUMBER(IF(D_I="SI",Datos!K17,Datos!K17+Datos!AE17)),IF(D_I="SI",Datos!K17,Datos!K17+Datos!AE17)," - ")</f>
        <v>546</v>
      </c>
      <c r="H17" s="452">
        <f>IF(ISNUMBER(G17/B17),G17/B17," - ")</f>
        <v>273</v>
      </c>
      <c r="I17" s="451">
        <f>IF(ISNUMBER(IF(D_I="SI",Datos!L17,Datos!L17+Datos!AF17)),IF(D_I="SI",Datos!L17,Datos!L17+Datos!AF17)," - ")</f>
        <v>600</v>
      </c>
      <c r="J17" s="452">
        <f>IF(ISNUMBER(I17/B17),I17/B17," - ")</f>
        <v>300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43</v>
      </c>
      <c r="D18" s="452">
        <f>IF(ISNUMBER(C18/Datos!BH18),C18/Datos!BH18," - ")</f>
        <v>43</v>
      </c>
      <c r="E18" s="451">
        <f>IF(ISNUMBER(IF(D_I="SI",Datos!J18,Datos!J18+Datos!AD18)),IF(D_I="SI",Datos!J18,Datos!J18+Datos!AD18)," - ")</f>
        <v>44</v>
      </c>
      <c r="F18" s="452">
        <f>IF(ISNUMBER(E18/B18),E18/B18," - ")</f>
        <v>44</v>
      </c>
      <c r="G18" s="451">
        <f>IF(ISNUMBER(IF(D_I="SI",Datos!K18,Datos!K18+Datos!AE18)),IF(D_I="SI",Datos!K18,Datos!K18+Datos!AE18)," - ")</f>
        <v>46</v>
      </c>
      <c r="H18" s="452">
        <f>IF(ISNUMBER(G18/B18),G18/B18," - ")</f>
        <v>46</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855</v>
      </c>
      <c r="D23" s="1147" t="str">
        <f>IF(ISNUMBER(C23/Datos!BI23),C23/Datos!BI23," - ")</f>
        <v xml:space="preserve"> - </v>
      </c>
      <c r="E23" s="1146">
        <f>SUBTOTAL(9,E15:E22)</f>
        <v>618</v>
      </c>
      <c r="F23" s="1147">
        <f>IF(ISNUMBER(E23/B23),E23/B23," - ")</f>
        <v>309</v>
      </c>
      <c r="G23" s="1146">
        <f>SUBTOTAL(9,G15:G22)</f>
        <v>592</v>
      </c>
      <c r="H23" s="1147">
        <f>IF(ISNUMBER(G23/B23),G23/B23," - ")</f>
        <v>296</v>
      </c>
      <c r="I23" s="1146">
        <f>SUBTOTAL(9,I15:I22)</f>
        <v>641</v>
      </c>
      <c r="J23" s="1147">
        <f>IF(ISNUMBER(I23/B23),I23/B23," - ")</f>
        <v>320.5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1981</v>
      </c>
      <c r="D31" s="1085" t="str">
        <f>IF(ISNUMBER(C31/Datos!BI31),C31/Datos!BI31," - ")</f>
        <v xml:space="preserve"> - </v>
      </c>
      <c r="E31" s="1084">
        <f>SUBTOTAL(9,E9:E30)</f>
        <v>1201</v>
      </c>
      <c r="F31" s="1085">
        <f>IF(ISNUMBER(E31/B31),E31/B31," - ")</f>
        <v>600.5</v>
      </c>
      <c r="G31" s="1084">
        <f>SUBTOTAL(9,G9:G30)</f>
        <v>1147</v>
      </c>
      <c r="H31" s="1085">
        <f>IF(ISNUMBER(G31/B31),G31/B31," - ")</f>
        <v>573.5</v>
      </c>
      <c r="I31" s="1084">
        <f>SUBTOTAL(9,I9:I30)</f>
        <v>1786</v>
      </c>
      <c r="J31" s="1085">
        <f>IF(ISNUMBER(I31/B31),I31/B31," - ")</f>
        <v>893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3x0F0UQgjPxlPl8FIrfBLOWYg/aZx6CiXWnSOAS9j0QA6o/ueAoj1bWeRk0uxMmVd7LpT35+Su2mMROKDCCA==" saltValue="+O1+53Is42qhn1KJJo97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ICOD DE LOS VINOS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208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6.1633393829401095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3.4323432343234324E-2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33</v>
      </c>
      <c r="AE14" s="1257">
        <f t="shared" si="1"/>
        <v>0</v>
      </c>
      <c r="AF14" s="1257">
        <f t="shared" si="1"/>
        <v>13</v>
      </c>
      <c r="AG14" s="1257">
        <f t="shared" si="1"/>
        <v>0</v>
      </c>
      <c r="AH14" s="1257">
        <f t="shared" si="1"/>
        <v>1567</v>
      </c>
      <c r="AI14" s="1257">
        <f t="shared" si="1"/>
        <v>0</v>
      </c>
      <c r="AJ14" s="1257">
        <f t="shared" si="1"/>
        <v>0</v>
      </c>
      <c r="AK14" s="1257">
        <f t="shared" si="1"/>
        <v>0</v>
      </c>
      <c r="AL14" s="1257">
        <f t="shared" si="1"/>
        <v>121</v>
      </c>
      <c r="AM14" s="1257">
        <f t="shared" si="1"/>
        <v>208</v>
      </c>
      <c r="AN14" s="1257">
        <f t="shared" si="1"/>
        <v>0</v>
      </c>
      <c r="AO14" s="1257">
        <f t="shared" si="1"/>
        <v>0</v>
      </c>
      <c r="AP14" s="1262">
        <f>IF(ISNUMBER(((Datos!L14/Datos!K14)*11)/factor_trimestre),((Datos!L14/Datos!K14)*11)/factor_trimestre," - ")</f>
        <v>6.1240157480314963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3.4323432343234324E-2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3.2483108108108105</v>
      </c>
      <c r="AQ23" s="1262">
        <f>IF(ISNUMBER(((Datos!M23/Datos!L23)*11)/factor_trimestre),((Datos!M23/Datos!L23)*11)/factor_trimestre," - ")</f>
        <v>0.44461778471138852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-0.15816993464052287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33</v>
      </c>
      <c r="AE31" s="1284">
        <f t="shared" si="9"/>
        <v>0</v>
      </c>
      <c r="AF31" s="1285">
        <f t="shared" si="9"/>
        <v>13</v>
      </c>
      <c r="AG31" s="1285">
        <f t="shared" si="9"/>
        <v>0</v>
      </c>
      <c r="AH31" s="1285">
        <f t="shared" si="9"/>
        <v>1567</v>
      </c>
      <c r="AI31" s="1285">
        <f t="shared" si="9"/>
        <v>0</v>
      </c>
      <c r="AJ31" s="1286">
        <f t="shared" si="9"/>
        <v>0</v>
      </c>
      <c r="AK31" s="1286">
        <f t="shared" si="9"/>
        <v>0</v>
      </c>
      <c r="AL31" s="1278">
        <f t="shared" si="9"/>
        <v>121</v>
      </c>
      <c r="AM31" s="1278">
        <f t="shared" si="9"/>
        <v>208</v>
      </c>
      <c r="AN31" s="1278">
        <f t="shared" si="9"/>
        <v>0</v>
      </c>
      <c r="AO31" s="1278">
        <f t="shared" si="9"/>
        <v>0</v>
      </c>
      <c r="AP31" s="1278">
        <f>IF(ISNUMBER(((Datos!L31/Datos!K31)*11)/factor_trimestre),((Datos!L31/Datos!K31)*11)/factor_trimestre," - ")</f>
        <v>4.5763636363636371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1.948051948051948E-2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62.484131318812999</v>
      </c>
      <c r="AM33" s="1006"/>
      <c r="AN33" s="1006">
        <f>IF(ISNUMBER(STDEV(AN8:AN30)),STDEV(AN8:AN30),"-")</f>
        <v>0</v>
      </c>
      <c r="AO33" s="1012">
        <f>IF(ISNUMBER(STDEV(AO8:AO30)),STDEV(AO8:AO30),"-")</f>
        <v>0</v>
      </c>
      <c r="AP33" s="1065">
        <f>IF(ISNUMBER(STDEV(AP8:AP30)),STDEV(AP8:AP30),"-")</f>
        <v>2.6622746430583808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iBUUj8qJ/BR627/FXmpNllZtTs3KCoFqsdW22qLPXC49FAvE7ZHC09W3dqt6/63jLJi8JBHaNp7+X5TP3crUg==" saltValue="xKhvCCmGtqGQUDWrQ2hW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ICOD DE LOS VINOS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mdRuBZdv3N9NtTOwAcRL2j7tZT17NmDf/34g9GIBLsRNukW9Th3Fb2sPNBTmv0/kEd1TY4mNle1Pa7YPs69yg==" saltValue="+Oy3asYPZxiUmCbnlbvh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ICOD DE LOS VINOS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121</v>
      </c>
      <c r="E12" s="452">
        <f t="shared" si="0"/>
        <v>60.5</v>
      </c>
      <c r="F12" s="451">
        <f>IF(ISNUMBER(Datos!N12),Datos!N12," - ")</f>
        <v>208</v>
      </c>
      <c r="G12" s="452">
        <f t="shared" si="1"/>
        <v>104</v>
      </c>
      <c r="H12" s="451">
        <f>IF(ISNUMBER(Datos!O12),Datos!O12," - ")</f>
        <v>232</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121</v>
      </c>
      <c r="E14" s="1147">
        <f t="shared" si="0"/>
        <v>40.333333333333336</v>
      </c>
      <c r="F14" s="1146">
        <f>SUBTOTAL(9,F9:F13)</f>
        <v>208</v>
      </c>
      <c r="G14" s="1147">
        <f t="shared" si="1"/>
        <v>69.333333333333329</v>
      </c>
      <c r="H14" s="1146">
        <f>SUBTOTAL(9,H9:H13)</f>
        <v>232</v>
      </c>
      <c r="I14" s="1147">
        <f>IF(ISNUMBER(H14/B14),H14/B14," - ")</f>
        <v>77.333333333333329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80</v>
      </c>
      <c r="E17" s="452">
        <f t="shared" si="3"/>
        <v>40</v>
      </c>
      <c r="F17" s="451">
        <f>IF(ISNUMBER(Datos!N17),Datos!N17," - ")</f>
        <v>380</v>
      </c>
      <c r="G17" s="452">
        <f t="shared" si="4"/>
        <v>190</v>
      </c>
      <c r="H17" s="451">
        <f>IF(ISNUMBER(Datos!O17),Datos!O17," - ")</f>
        <v>8</v>
      </c>
      <c r="I17" s="452">
        <f t="shared" si="5"/>
        <v>4</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95</v>
      </c>
      <c r="E23" s="1147">
        <f t="shared" si="3"/>
        <v>31.666666666666668</v>
      </c>
      <c r="F23" s="1146">
        <f>SUBTOTAL(9,F16:F22)</f>
        <v>409</v>
      </c>
      <c r="G23" s="1147">
        <f t="shared" si="4"/>
        <v>136.33333333333334</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216</v>
      </c>
      <c r="E31" s="1085">
        <f>IF(ISNUMBER(D31/B31),D31/B31," - ")</f>
        <v>108</v>
      </c>
      <c r="F31" s="1084">
        <f>SUBTOTAL(9,F8:F30)</f>
        <v>617</v>
      </c>
      <c r="G31" s="1085">
        <f>IF(ISNUMBER(F31/B31),F31/B31," - ")</f>
        <v>308.5</v>
      </c>
      <c r="H31" s="1084">
        <f>SUBTOTAL(9,H8:H30)</f>
        <v>240</v>
      </c>
      <c r="I31" s="1085">
        <f>IF(ISNUMBER(H31/B31),H31/B31," - ")</f>
        <v>120</v>
      </c>
    </row>
    <row r="34" spans="1:1">
      <c r="A34" s="439" t="str">
        <f>Criterios!A4</f>
        <v>Fecha Informe: 06 may. 2023</v>
      </c>
    </row>
    <row r="39" spans="1:1">
      <c r="A39" s="462"/>
    </row>
  </sheetData>
  <sheetProtection algorithmName="SHA-512" hashValue="TtGS5h6k0ZrXIsWeb63nco3BVm7Fj3dwZBNab8IY1O/O7A8MKoHG+oBdL7W9GAbHuPtZq3k1W0M758UflnIutA==" saltValue="tBa3/p1bnLcE9FdjFwy1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ICOD DE LOS VINOS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33</v>
      </c>
      <c r="D12" s="456">
        <f>IF(ISNUMBER(Datos!R12),Datos!R12," - ")</f>
        <v>1567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33</v>
      </c>
      <c r="D14" s="1148">
        <f>SUBTOTAL(9,D9:D13)</f>
        <v>1575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29</v>
      </c>
      <c r="D17" s="456">
        <f>IF(ISNUMBER(Datos!R17),Datos!R17," - ")</f>
        <v>148</v>
      </c>
    </row>
    <row r="18" spans="1:4">
      <c r="A18" s="450" t="str">
        <f>Datos!A18</f>
        <v>Jdos. Violencia contra la mujer</v>
      </c>
      <c r="B18" s="488">
        <f>IF(ISNUMBER(Datos!P18),Datos!P18," - ")</f>
        <v>0</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31</v>
      </c>
      <c r="D23" s="1148">
        <f>SUBTOTAL(9,D16:D22)</f>
        <v>152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97</v>
      </c>
      <c r="C31" s="1089">
        <f>SUBTOTAL(9,C8:C30)</f>
        <v>64</v>
      </c>
      <c r="D31" s="1090">
        <f>SUBTOTAL(9,D8:D30)</f>
        <v>1727</v>
      </c>
    </row>
    <row r="32" spans="1:4" ht="7.5" customHeight="1"/>
    <row r="33" spans="1:1" ht="6" customHeight="1"/>
    <row r="34" spans="1:1">
      <c r="A34" s="439" t="str">
        <f>Criterios!A4</f>
        <v>Fecha Informe: 06 may. 2023</v>
      </c>
    </row>
    <row r="39" spans="1:1">
      <c r="A39" s="462"/>
    </row>
  </sheetData>
  <sheetProtection algorithmName="SHA-512" hashValue="5tejF0orvmzDeCjSow63yfDyITww/msI99UQ9udczjMTtx00RIES6fgXgi3ptx3/C5xCtxU5drBGuGOVQa7Asw==" saltValue="+GOBnH37E6kGnRlFvSGW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ICOD DE LOS VINOS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-0.5</v>
      </c>
      <c r="D10" s="515">
        <f>IF(ISNUMBER((Datos!K10-Datos!U10)/Datos!U10),(Datos!K10-Datos!U10)/Datos!U10," - ")</f>
        <v>1</v>
      </c>
      <c r="E10" s="515">
        <f>IF(ISNUMBER((Datos!L10-Datos!V10)/Datos!V10),(Datos!L10-Datos!V10)/Datos!V10," - ")</f>
        <v>0.18181818181818182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-0.40909090909090912</v>
      </c>
      <c r="J10" s="521">
        <f>IF(ISNUMBER((('Resol  Asuntos'!D10/NºAsuntos!G10)-Datos!BF10)/Datos!BF10),(('Resol  Asuntos'!D10/NºAsuntos!G10)-Datos!BF10)/Datos!BF10," - ")</f>
        <v>-1</v>
      </c>
      <c r="K10" s="522">
        <f>IF(ISNUMBER((((NºAsuntos!C10+NºAsuntos!E10)/NºAsuntos!G10)-Datos!BG10)/Datos!BG10),(((NºAsuntos!C10+NºAsuntos!E10)/NºAsuntos!G10)-Datos!BG10)/Datos!BG10," - ")</f>
        <v>-0.34615384615384615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0.28736964078794902</v>
      </c>
      <c r="C12" s="515">
        <f>IF(ISNUMBER(
   IF(J_V="SI",(Datos!J12-Datos!T12)/Datos!T12,(Datos!J12+Datos!Z12-(Datos!T12+Datos!AH12))/(Datos!T12+Datos!AH12))
     ),IF(J_V="SI",(Datos!J12-Datos!T12)/Datos!T12,(Datos!J12+Datos!Z12-(Datos!T12+Datos!AH12))/(Datos!T12+Datos!AH12))," - ")</f>
        <v>0.38333333333333336</v>
      </c>
      <c r="D12" s="515">
        <f>IF(ISNUMBER(
   IF(J_V="SI",(Datos!K12-Datos!U12)/Datos!U12,(Datos!K12+Datos!AA12-(Datos!U12+Datos!AI12))/(Datos!U12+Datos!AI12))
     ),IF(J_V="SI",(Datos!K12-Datos!U12)/Datos!U12,(Datos!K12+Datos!AA12-(Datos!U12+Datos!AI12))/(Datos!U12+Datos!AI12))," - ")</f>
        <v>0.24379232505643342</v>
      </c>
      <c r="E12" s="515">
        <f>IF(ISNUMBER(
   IF(J_V="SI",(Datos!L12-Datos!V12)/Datos!V12,(Datos!L12+Datos!AB12-(Datos!V12+Datos!AJ12))/(Datos!V12+Datos!AJ12))
     ),IF(J_V="SI",(Datos!L12-Datos!V12)/Datos!V12,(Datos!L12+Datos!AB12-(Datos!V12+Datos!AJ12))/(Datos!V12+Datos!AJ12))," - ")</f>
        <v>0.3889570552147239</v>
      </c>
      <c r="F12" s="515">
        <f>IF(ISNUMBER((Datos!M12-Datos!W12)/Datos!W12),(Datos!M12-Datos!W12)/Datos!W12," - ")</f>
        <v>0.18627450980392157</v>
      </c>
      <c r="G12" s="516">
        <f>IF(ISNUMBER((Datos!N12-Datos!X12)/Datos!X12),(Datos!N12-Datos!X12)/Datos!X12," - ")</f>
        <v>0.36842105263157893</v>
      </c>
      <c r="H12" s="514">
        <f>IF(ISNUMBER(((NºAsuntos!G12/NºAsuntos!E12)-Datos!BD12)/Datos!BD12),((NºAsuntos!G12/NºAsuntos!E12)-Datos!BD12)/Datos!BD12," - ")</f>
        <v>-0.10087301803149394</v>
      </c>
      <c r="I12" s="515">
        <f>IF(ISNUMBER(((NºAsuntos!I12/NºAsuntos!G12)-Datos!BE12)/Datos!BE12),((NºAsuntos!I12/NºAsuntos!G12)-Datos!BE12)/Datos!BE12," - ")</f>
        <v>0.11671138921982348</v>
      </c>
      <c r="J12" s="521">
        <f>IF(ISNUMBER((('Resol  Asuntos'!D12/NºAsuntos!G12)-Datos!BF12)/Datos!BF12),(('Resol  Asuntos'!D12/NºAsuntos!G12)-Datos!BF12)/Datos!BF12," - ")</f>
        <v>-0.35997946317699875</v>
      </c>
      <c r="K12" s="522">
        <f>IF(ISNUMBER((((NºAsuntos!C12+NºAsuntos!E12)/NºAsuntos!G12)-Datos!BG12)/Datos!BG12),(((NºAsuntos!C12+NºAsuntos!E12)/NºAsuntos!G12)-Datos!BG12)/Datos!BG12," - ")</f>
        <v>6.029284246173252E-2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0.29128440366972475</v>
      </c>
      <c r="C14" s="1152">
        <f>IF(ISNUMBER(
   IF(J_V="SI",(Datos!J14-Datos!T14)/Datos!T14,(Datos!J14+Datos!Z14-(Datos!T14+Datos!AH14))/(Datos!T14+Datos!AH14))
     ),IF(J_V="SI",(Datos!J14-Datos!T14)/Datos!T14,(Datos!J14+Datos!Z14-(Datos!T14+Datos!AH14))/(Datos!T14+Datos!AH14))," - ")</f>
        <v>0.375</v>
      </c>
      <c r="D14" s="1152">
        <f>IF(ISNUMBER(
   IF(J_V="SI",(Datos!K14-Datos!U14)/Datos!U14,(Datos!K14+Datos!AA14-(Datos!U14+Datos!AI14))/(Datos!U14+Datos!AI14))
     ),IF(J_V="SI",(Datos!K14-Datos!U14)/Datos!U14,(Datos!K14+Datos!AA14-(Datos!U14+Datos!AI14))/(Datos!U14+Datos!AI14))," - ")</f>
        <v>0.24719101123595505</v>
      </c>
      <c r="E14" s="1152">
        <f>IF(ISNUMBER(
   IF(J_V="SI",(Datos!L14-Datos!V14)/Datos!V14,(Datos!L14+Datos!AB14-(Datos!V14+Datos!AJ14))/(Datos!V14+Datos!AJ14))
     ),IF(J_V="SI",(Datos!L14-Datos!V14)/Datos!V14,(Datos!L14+Datos!AB14-(Datos!V14+Datos!AJ14))/(Datos!V14+Datos!AJ14))," - ")</f>
        <v>0.38619854721549635</v>
      </c>
      <c r="F14" s="1153">
        <f>IF(ISNUMBER((Datos!M14-Datos!W14)/Datos!W14),(Datos!M14-Datos!W14)/Datos!W14," - ")</f>
        <v>0.16346153846153846</v>
      </c>
      <c r="G14" s="1154">
        <f>IF(ISNUMBER((Datos!N14-Datos!X14)/Datos!X14),(Datos!N14-Datos!X14)/Datos!X14," - ")</f>
        <v>0.36842105263157893</v>
      </c>
      <c r="H14" s="1154">
        <f>IF(ISNUMBER(((NºAsuntos!G14/NºAsuntos!E14)-Datos!BD14)/Datos!BD14),((NºAsuntos!G14/NºAsuntos!E14)-Datos!BD14)/Datos!BD14," - ")</f>
        <v>-9.2951991828396294E-2</v>
      </c>
      <c r="I14" s="1154">
        <f>IF(ISNUMBER(((NºAsuntos!I14/NºAsuntos!G14)-Datos!BE14)/Datos!BE14),((NºAsuntos!I14/NºAsuntos!G14)-Datos!BE14)/Datos!BE14," - ")</f>
        <v>0.11145649281242494</v>
      </c>
      <c r="J14" s="1154">
        <f>IF(ISNUMBER((('Resol  Asuntos'!D14/NºAsuntos!G14)-Datos!BF14)/Datos!BF14),(('Resol  Asuntos'!D14/NºAsuntos!G14)-Datos!BF14)/Datos!BF14," - ")</f>
        <v>-0.37001287001286998</v>
      </c>
      <c r="K14" s="1154">
        <f>IF(ISNUMBER((((NºAsuntos!C14+NºAsuntos!E14)/NºAsuntos!G14)-Datos!BG14)/Datos!BG14),(((NºAsuntos!C14+NºAsuntos!E14)/NºAsuntos!G14)-Datos!BG14)/Datos!BG14," - ")</f>
        <v>5.7314258703147582E-2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0.35108153078202997</v>
      </c>
      <c r="C17" s="515">
        <f>IF(ISNUMBER(
   IF(D_I="SI",(Datos!J17-Datos!T17)/Datos!T17,(Datos!J17+Datos!AD17-(Datos!T17+Datos!AL17))/(Datos!T17+Datos!AL17))
     ),IF(D_I="SI",(Datos!J17-Datos!T17)/Datos!T17,(Datos!J17+Datos!AD17-(Datos!T17+Datos!AL17))/(Datos!T17+Datos!AL17))," - ")</f>
        <v>-4.1736227045075125E-2</v>
      </c>
      <c r="D17" s="515">
        <f>IF(ISNUMBER(
   IF(D_I="SI",(Datos!K17-Datos!U17)/Datos!U17,(Datos!K17+Datos!AE17-(Datos!U17+Datos!AM17))/(Datos!U17+Datos!AM17))
     ),IF(D_I="SI",(Datos!K17-Datos!U17)/Datos!U17,(Datos!K17+Datos!AE17-(Datos!U17+Datos!AM17))/(Datos!U17+Datos!AM17))," - ")</f>
        <v>-5.4644808743169399E-3</v>
      </c>
      <c r="E17" s="515">
        <f>IF(ISNUMBER(
   IF(D_I="SI",(Datos!L17-Datos!V17)/Datos!V17,(Datos!L17+Datos!AF17-(Datos!V17+Datos!AN17))/(Datos!V17+Datos!AN17))
     ),IF(D_I="SI",(Datos!L17-Datos!V17)/Datos!V17,(Datos!L17+Datos!AF17-(Datos!V17+Datos!AN17))/(Datos!V17+Datos!AN17))," - ")</f>
        <v>-4.9751243781094526E-3</v>
      </c>
      <c r="F17" s="515">
        <f>IF(ISNUMBER((Datos!M17-Datos!W17)/Datos!W17),(Datos!M17-Datos!W17)/Datos!W17," - ")</f>
        <v>-2.4390243902439025E-2</v>
      </c>
      <c r="G17" s="516">
        <f>IF(ISNUMBER((Datos!N17-Datos!X17)/Datos!X17),(Datos!N17-Datos!X17)/Datos!X17," - ")</f>
        <v>1.6042780748663103E-2</v>
      </c>
      <c r="H17" s="514">
        <f>IF(ISNUMBER(((NºAsuntos!G17/NºAsuntos!E17)-Datos!BD17)/Datos!BD17),((NºAsuntos!G17/NºAsuntos!E17)-Datos!BD17)/Datos!BD17," - ")</f>
        <v>3.7851526056244124E-2</v>
      </c>
      <c r="I17" s="515">
        <f>IF(ISNUMBER(((NºAsuntos!I17/NºAsuntos!G17)-Datos!BE17)/Datos!BE17),((NºAsuntos!I17/NºAsuntos!G17)-Datos!BE17)/Datos!BE17," - ")</f>
        <v>4.9204526816465604E-4</v>
      </c>
      <c r="J17" s="521">
        <f>IF(ISNUMBER((('Resol  Asuntos'!D17/NºAsuntos!G17)-Datos!BF17)/Datos!BF17),(('Resol  Asuntos'!D17/NºAsuntos!G17)-Datos!BF17)/Datos!BF17," - ")</f>
        <v>-1.9029750737067821E-2</v>
      </c>
      <c r="K17" s="522">
        <f>IF(ISNUMBER((((NºAsuntos!C17+NºAsuntos!E17)/NºAsuntos!G17)-Datos!BG17)/Datos!BG17),(((NºAsuntos!C17+NºAsuntos!E17)/NºAsuntos!G17)-Datos!BG17)/Datos!BG17," - ")</f>
        <v>0.16134615384615367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0.15789473684210525</v>
      </c>
      <c r="D18" s="515">
        <f>IF(ISNUMBER(
   IF(D_I="SI",(Datos!K18-Datos!U18)/Datos!U18,(Datos!K18+Datos!AE18-(Datos!U18+Datos!AM18))/(Datos!U18+Datos!AM18))
     ),IF(D_I="SI",(Datos!K18-Datos!U18)/Datos!U18,(Datos!K18+Datos!AE18-(Datos!U18+Datos!AM18))/(Datos!U18+Datos!AM18))," - ")</f>
        <v>0.24324324324324326</v>
      </c>
      <c r="E18" s="515">
        <f>IF(ISNUMBER(
   IF(D_I="SI",(Datos!L18-Datos!V18)/Datos!V18,(Datos!L18+Datos!AF18-(Datos!V18+Datos!AN18))/(Datos!V18+Datos!AN18))
     ),IF(D_I="SI",(Datos!L18-Datos!V18)/Datos!V18,(Datos!L18+Datos!AF18-(Datos!V18+Datos!AN18))/(Datos!V18+Datos!AN18))," - ")</f>
        <v>-6.8181818181818177E-2</v>
      </c>
      <c r="F18" s="515">
        <f>IF(ISNUMBER((Datos!M18-Datos!W18)/Datos!W18),(Datos!M18-Datos!W18)/Datos!W18," - ")</f>
        <v>0.66666666666666663</v>
      </c>
      <c r="G18" s="516">
        <f>IF(ISNUMBER((Datos!N18-Datos!X18)/Datos!X18),(Datos!N18-Datos!X18)/Datos!X18," - ")</f>
        <v>0.20833333333333334</v>
      </c>
      <c r="H18" s="514">
        <f>IF(ISNUMBER(((NºAsuntos!G18/NºAsuntos!E18)-Datos!BD18)/Datos!BD18),((NºAsuntos!G18/NºAsuntos!E18)-Datos!BD18)/Datos!BD18," - ")</f>
        <v>7.371007371007364E-2</v>
      </c>
      <c r="I18" s="515">
        <f>IF(ISNUMBER(((NºAsuntos!I18/NºAsuntos!G18)-Datos!BE18)/Datos!BE18),((NºAsuntos!I18/NºAsuntos!G18)-Datos!BE18)/Datos!BE18," - ")</f>
        <v>-0.25049407114624511</v>
      </c>
      <c r="J18" s="521">
        <f>IF(ISNUMBER((('Resol  Asuntos'!D18/NºAsuntos!G18)-Datos!BF18)/Datos!BF18),(('Resol  Asuntos'!D18/NºAsuntos!G18)-Datos!BF18)/Datos!BF18," - ")</f>
        <v>0.34057971014492749</v>
      </c>
      <c r="K18" s="522">
        <f>IF(ISNUMBER((((NºAsuntos!C18+NºAsuntos!E18)/NºAsuntos!G18)-Datos!BG18)/Datos!BG18),(((NºAsuntos!C18+NºAsuntos!E18)/NºAsuntos!G18)-Datos!BG18)/Datos!BG18," - ")</f>
        <v>-0.13607085346215778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0.32763975155279501</v>
      </c>
      <c r="C23" s="1152">
        <f>IF(ISNUMBER(
   IF(Criterios!B14="SI",(Datos!J23-Datos!T23)/Datos!T23,(Datos!J23+Datos!AD23-(Datos!T23+Datos!AL23))/(Datos!T23+Datos!AL23))
     ),IF(Criterios!B14="SI",(Datos!J23-Datos!T23)/Datos!T23,(Datos!J23+Datos!AD23-(Datos!T23+Datos!AL23))/(Datos!T23+Datos!AL23))," - ")</f>
        <v>-2.9827315541601257E-2</v>
      </c>
      <c r="D23" s="1152">
        <f>IF(ISNUMBER(
   IF(Criterios!B14="SI",(Datos!K23-Datos!U23)/Datos!U23,(Datos!K23+Datos!AE23-(Datos!U23+Datos!AM23))/(Datos!U23+Datos!AM23))
     ),IF(Criterios!B14="SI",(Datos!K23-Datos!U23)/Datos!U23,(Datos!K23+Datos!AE23-(Datos!U23+Datos!AM23))/(Datos!U23+Datos!AM23))," - ")</f>
        <v>1.0238907849829351E-2</v>
      </c>
      <c r="E23" s="1152">
        <f>IF(ISNUMBER(
   IF(Criterios!B14="SI",(Datos!L23-Datos!V23)/Datos!V23,(Datos!L23+Datos!AF23-(Datos!V23+Datos!AN23))/(Datos!V23+Datos!AN23))
     ),IF(Criterios!B14="SI",(Datos!L23-Datos!V23)/Datos!V23,(Datos!L23+Datos!AF23-(Datos!V23+Datos!AN23))/(Datos!V23+Datos!AN23))," - ")</f>
        <v>-9.2735703245749607E-3</v>
      </c>
      <c r="F23" s="1153">
        <f>IF(ISNUMBER((Datos!M23-Datos!W23)/Datos!W23),(Datos!M23-Datos!W23)/Datos!W23," - ")</f>
        <v>4.3956043956043959E-2</v>
      </c>
      <c r="G23" s="1154">
        <f>IF(ISNUMBER((Datos!N23-Datos!X23)/Datos!X23),(Datos!N23-Datos!X23)/Datos!X23," - ")</f>
        <v>2.7638190954773871E-2</v>
      </c>
      <c r="H23" s="1154">
        <f>IF(ISNUMBER(((NºAsuntos!G23/NºAsuntos!E23)-Datos!BD23)/Datos!BD23),((NºAsuntos!G23/NºAsuntos!E23)-Datos!BD23)/Datos!BD23," - ")</f>
        <v>4.1298032848448608E-2</v>
      </c>
      <c r="I23" s="1154">
        <f>IF(ISNUMBER(((NºAsuntos!I23/NºAsuntos!G23)-Datos!BE23)/Datos!BE23),((NºAsuntos!I23/NºAsuntos!G23)-Datos!BE23)/Datos!BE23," - ")</f>
        <v>-1.9314716571285532E-2</v>
      </c>
      <c r="J23" s="1154">
        <f>IF(ISNUMBER((('Resol  Asuntos'!D23/NºAsuntos!G23)-Datos!BF23)/Datos!BF23),(('Resol  Asuntos'!D23/NºAsuntos!G23)-Datos!BF23)/Datos!BF23," - ")</f>
        <v>3.3375408375408325E-2</v>
      </c>
      <c r="K23" s="1154">
        <f>IF(ISNUMBER((((NºAsuntos!C23+NºAsuntos!E23)/NºAsuntos!G23)-Datos!BG23)/Datos!BG23),(((NºAsuntos!C23+NºAsuntos!E23)/NºAsuntos!G23)-Datos!BG23)/Datos!BG23," - ")</f>
        <v>0.13822868535983288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0.30672823218997364</v>
      </c>
      <c r="C31" s="1092">
        <f>IF(ISNUMBER(
   IF(J_V="SI",(Datos!J31-Datos!T31)/Datos!T31,(Datos!J31+Datos!Z31-(Datos!T31+Datos!AH31))/(Datos!T31+Datos!AH31))
     ),IF(J_V="SI",(Datos!J31-Datos!T31)/Datos!T31,(Datos!J31+Datos!Z31-(Datos!T31+Datos!AH31))/(Datos!T31+Datos!AH31))," - ")</f>
        <v>0.13195098963242224</v>
      </c>
      <c r="D31" s="1092">
        <f>IF(ISNUMBER(
   IF(J_V="SI",(Datos!K31-Datos!U31)/Datos!U31,(Datos!K31+Datos!AA31-(Datos!U31+Datos!AI31))/(Datos!U31+Datos!AI31))
     ),IF(J_V="SI",(Datos!K31-Datos!U31)/Datos!U31,(Datos!K31+Datos!AA31-(Datos!U31+Datos!AI31))/(Datos!U31+Datos!AI31))," - ")</f>
        <v>0.11251212415130941</v>
      </c>
      <c r="E31" s="1092">
        <f>IF(ISNUMBER(
   IF(J_V="SI",(Datos!L31-Datos!V31)/Datos!V31,(Datos!L31+Datos!AB31-(Datos!V31+Datos!AJ31))/(Datos!V31+Datos!AJ31))
     ),IF(J_V="SI",(Datos!L31-Datos!V31)/Datos!V31,(Datos!L31+Datos!AB31-(Datos!V31+Datos!AJ31))/(Datos!V31+Datos!AJ31))," - ")</f>
        <v>0.21249151391717583</v>
      </c>
      <c r="F31" s="1093">
        <f>IF(ISNUMBER((Datos!M31-Datos!W31)/Datos!W31),(Datos!M31-Datos!W31)/Datos!W31," - ")</f>
        <v>0.1076923076923077</v>
      </c>
      <c r="G31" s="1094">
        <f>IF(ISNUMBER((Datos!N31-Datos!X31)/Datos!X31),(Datos!N31-Datos!X31)/Datos!X31," - ")</f>
        <v>0.12181818181818181</v>
      </c>
      <c r="H31" s="1095">
        <f>IF(ISNUMBER((Tasas!B31-Datos!BD31)/Datos!BD31),(Tasas!B31-Datos!BD31)/Datos!BD31," - ")</f>
        <v>-1.7172886157752459E-2</v>
      </c>
      <c r="I31" s="1096">
        <f>IF(ISNUMBER((Tasas!C31-Datos!BE31)/Datos!BE31),(Tasas!C31-Datos!BE31)/Datos!BE31," - ")</f>
        <v>8.9868135003145735E-2</v>
      </c>
      <c r="J31" s="1097">
        <f>IF(ISNUMBER((Tasas!D31-Datos!BF31)/Datos!BF31),(Tasas!D31-Datos!BF31)/Datos!BF31," - ")</f>
        <v>-0.20752984716118358</v>
      </c>
      <c r="K31" s="1097">
        <f>IF(ISNUMBER((Tasas!E31-Datos!BG31)/Datos!BG31),(Tasas!E31-Datos!BG31)/Datos!BG31," - ")</f>
        <v>0.10989272347190421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KkjJshDSVcElYeOIImiRUBrLtJraFBW17OSeOm9j34T4FtTETeoTMVuKVvF5yAkILXokhC2BA29VOzy+/M8rQ==" saltValue="1JVQawyJAFGBkzTXfO2L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ICOD DE LOS VINOS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3.25</v>
      </c>
      <c r="D10" s="499">
        <f>IF(ISNUMBER('Resol  Asuntos'!D10/NºAsuntos!G10),'Resol  Asuntos'!D10/NºAsuntos!G10," - ")</f>
        <v>0</v>
      </c>
      <c r="E10" s="500">
        <f>IF(ISNUMBER((NºAsuntos!C10+NºAsuntos!E10)/NºAsuntos!G10),(NºAsuntos!C10+NºAsuntos!E10)/NºAsuntos!G10," - ")</f>
        <v>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0.94836488812392428</v>
      </c>
      <c r="C12" s="498">
        <f>IF(ISNUMBER(NºAsuntos!I12/NºAsuntos!G12),NºAsuntos!I12/NºAsuntos!G12," - ")</f>
        <v>2.0544464609800364</v>
      </c>
      <c r="D12" s="499">
        <f>IF(ISNUMBER('Resol  Asuntos'!D12/NºAsuntos!G12),'Resol  Asuntos'!D12/NºAsuntos!G12," - ")</f>
        <v>0.21960072595281308</v>
      </c>
      <c r="E12" s="500">
        <f>IF(ISNUMBER((NºAsuntos!C12+NºAsuntos!E12)/NºAsuntos!G12),(NºAsuntos!C12+NºAsuntos!E12)/NºAsuntos!G12," - ")</f>
        <v>3.0707803992740472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0.9519725557461407</v>
      </c>
      <c r="C14" s="1156">
        <f>IF(ISNUMBER(NºAsuntos!I14/NºAsuntos!G14),NºAsuntos!I14/NºAsuntos!G14," - ")</f>
        <v>2.0630630630630629</v>
      </c>
      <c r="D14" s="1157">
        <f>IF(ISNUMBER('Resol  Asuntos'!D14/NºAsuntos!G14),'Resol  Asuntos'!D14/NºAsuntos!G14," - ")</f>
        <v>0.21801801801801801</v>
      </c>
      <c r="E14" s="1158">
        <f>IF(ISNUMBER((NºAsuntos!C14+NºAsuntos!E14)/NºAsuntos!G14),(NºAsuntos!C14+NºAsuntos!E14)/NºAsuntos!G14," - ")</f>
        <v>3.0792792792792794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0.95121951219512191</v>
      </c>
      <c r="C17" s="498">
        <f>IF(ISNUMBER(NºAsuntos!I17/NºAsuntos!G17),NºAsuntos!I17/NºAsuntos!G17," - ")</f>
        <v>1.098901098901099</v>
      </c>
      <c r="D17" s="499">
        <f>IF(ISNUMBER('Resol  Asuntos'!D17/NºAsuntos!G17),'Resol  Asuntos'!D17/NºAsuntos!G17," - ")</f>
        <v>0.14652014652014653</v>
      </c>
      <c r="E17" s="500">
        <f>IF(ISNUMBER((NºAsuntos!C17+NºAsuntos!E17)/NºAsuntos!G17),(NºAsuntos!C17+NºAsuntos!E17)/NºAsuntos!G17," - ")</f>
        <v>2.5384615384615383</v>
      </c>
      <c r="G17" s="523"/>
    </row>
    <row r="18" spans="1:7">
      <c r="A18" s="450" t="str">
        <f>Datos!A18</f>
        <v>Jdos. Violencia contra la mujer</v>
      </c>
      <c r="B18" s="497">
        <f>IF(ISNUMBER(NºAsuntos!G18/NºAsuntos!E18),NºAsuntos!G18/NºAsuntos!E18," - ")</f>
        <v>1.0454545454545454</v>
      </c>
      <c r="C18" s="498">
        <f>IF(ISNUMBER(NºAsuntos!I18/NºAsuntos!G18),NºAsuntos!I18/NºAsuntos!G18," - ")</f>
        <v>0.89130434782608692</v>
      </c>
      <c r="D18" s="499">
        <f>IF(ISNUMBER('Resol  Asuntos'!D18/NºAsuntos!G18),'Resol  Asuntos'!D18/NºAsuntos!G18," - ")</f>
        <v>0.32608695652173914</v>
      </c>
      <c r="E18" s="500">
        <f>IF(ISNUMBER((NºAsuntos!C18+NºAsuntos!E18)/NºAsuntos!G18),(NºAsuntos!C18+NºAsuntos!E18)/NºAsuntos!G18," - ")</f>
        <v>1.8913043478260869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0.95792880258899671</v>
      </c>
      <c r="C23" s="1156">
        <f>IF(ISNUMBER(NºAsuntos!I23/NºAsuntos!G23),NºAsuntos!I23/NºAsuntos!G23," - ")</f>
        <v>1.0827702702702702</v>
      </c>
      <c r="D23" s="1159">
        <f>IF(ISNUMBER('Resol  Asuntos'!D23/NºAsuntos!G23),'Resol  Asuntos'!D23/NºAsuntos!G23," - ")</f>
        <v>0.16047297297297297</v>
      </c>
      <c r="E23" s="1158">
        <f>IF(ISNUMBER((NºAsuntos!C23+NºAsuntos!E23)/NºAsuntos!G23),(NºAsuntos!C23+NºAsuntos!E23)/NºAsuntos!G23," - ")</f>
        <v>2.4881756756756759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0.95503746877602003</v>
      </c>
      <c r="C31" s="1099">
        <f>IF(ISNUMBER(NºAsuntos!I31/NºAsuntos!G31),NºAsuntos!I31/NºAsuntos!G31," - ")</f>
        <v>1.5571054925893635</v>
      </c>
      <c r="D31" s="1100">
        <f>IF(ISNUMBER('Resol  Asuntos'!D31/NºAsuntos!G31),'Resol  Asuntos'!D31/NºAsuntos!G31," - ")</f>
        <v>0.18831734960767219</v>
      </c>
      <c r="E31" s="1101">
        <f>IF(ISNUMBER((NºAsuntos!C31+NºAsuntos!E31)/NºAsuntos!G31),(NºAsuntos!C31+NºAsuntos!E31)/NºAsuntos!G31," - ")</f>
        <v>2.774193548387097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jGqT5wP64SqJ0OB03jjNUYxfLahOyfJW4EXFNF6ulsauk7w1V81B416Y6xM86Uh0fo25eviKeb0VABdufd5A==" saltValue="goXVyI3xePl56u2DpPW6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ICOD DE LOS VINOS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13</v>
      </c>
      <c r="AB10" s="374">
        <f>IF(ISNUMBER(Datos!R10),Datos!R10," - ")</f>
        <v>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9.75</v>
      </c>
      <c r="AN10" s="267">
        <f>IF(ISNUMBER('Resol  Asuntos'!D10/NºAsuntos!G10),'Resol  Asuntos'!D10/NºAsuntos!G10," - ")</f>
        <v>0</v>
      </c>
      <c r="AO10" s="268">
        <f>IF(ISNUMBER((NºAsuntos!C10+NºAsuntos!E10)/NºAsuntos!G10),(NºAsuntos!C10+NºAsuntos!E10)/NºAsuntos!G10," - ")</f>
        <v>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0.94836488812392428</v>
      </c>
      <c r="AM12" s="284">
        <f>IF(ISNUMBER(((NºAsuntos!I12/NºAsuntos!G12)*11)/factor_trimestre),((NºAsuntos!I12/NºAsuntos!G12)*11)/factor_trimestre," - ")</f>
        <v>6.1633393829401095</v>
      </c>
      <c r="AN12" s="267">
        <f>IF(ISNUMBER('Resol  Asuntos'!D12/NºAsuntos!G12),'Resol  Asuntos'!D12/NºAsuntos!G12," - ")</f>
        <v>0.21960072595281308</v>
      </c>
      <c r="AO12" s="268">
        <f>IF(ISNUMBER((NºAsuntos!C12+NºAsuntos!E12)/NºAsuntos!G12),(NºAsuntos!C12+NºAsuntos!E12)/NºAsuntos!G12," - ")</f>
        <v>3.0707803992740472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33</v>
      </c>
      <c r="Y14" s="1165">
        <f t="shared" si="6"/>
        <v>37</v>
      </c>
      <c r="Z14" s="1165">
        <f t="shared" si="6"/>
        <v>0</v>
      </c>
      <c r="AA14" s="1165">
        <f t="shared" si="6"/>
        <v>13</v>
      </c>
      <c r="AB14" s="1165">
        <f t="shared" si="6"/>
        <v>1575</v>
      </c>
      <c r="AC14" s="1165">
        <f t="shared" si="6"/>
        <v>21</v>
      </c>
      <c r="AD14" s="1165">
        <f t="shared" si="6"/>
        <v>0</v>
      </c>
      <c r="AE14" s="1169">
        <f t="shared" si="6"/>
        <v>0</v>
      </c>
      <c r="AF14" s="1162">
        <f t="shared" si="6"/>
        <v>0</v>
      </c>
      <c r="AG14" s="1170">
        <f t="shared" si="6"/>
        <v>0</v>
      </c>
      <c r="AH14" s="1167">
        <f t="shared" si="6"/>
        <v>0</v>
      </c>
      <c r="AI14" s="1162">
        <f t="shared" si="6"/>
        <v>121</v>
      </c>
      <c r="AJ14" s="1164">
        <f t="shared" si="6"/>
        <v>0</v>
      </c>
      <c r="AK14" s="1167">
        <f>SUBTOTAL(9,AK9:AK13)</f>
        <v>0</v>
      </c>
      <c r="AL14" s="1171">
        <f>IF(ISNUMBER(NºAsuntos!G14/NºAsuntos!E14),NºAsuntos!G14/NºAsuntos!E14," - ")</f>
        <v>0.9519725557461407</v>
      </c>
      <c r="AM14" s="1171">
        <f>IF(ISNUMBER(((NºAsuntos!I14/NºAsuntos!G14)*11)/factor_trimestre),((NºAsuntos!I14/NºAsuntos!G14)*11)/factor_trimestre," - ")</f>
        <v>6.1891891891891895</v>
      </c>
      <c r="AN14" s="1172">
        <f>IF(ISNUMBER('Resol  Asuntos'!D14/NºAsuntos!G14),'Resol  Asuntos'!D14/NºAsuntos!G14," - ")</f>
        <v>0.21801801801801801</v>
      </c>
      <c r="AO14" s="1173">
        <f>IF(ISNUMBER((NºAsuntos!C14+NºAsuntos!E14)/NºAsuntos!G14),(NºAsuntos!C14+NºAsuntos!E14)/NºAsuntos!G14," - ")</f>
        <v>3.0792792792792794</v>
      </c>
      <c r="AP14" s="1174" t="str">
        <f t="shared" si="2"/>
        <v xml:space="preserve"> - </v>
      </c>
      <c r="AQ14" s="1174">
        <f>IF(ISNUMBER((H14-W14+K14)/(F14)),(H14-W14+K14)/(F14)," - ")</f>
        <v>-0.26666666666666666</v>
      </c>
      <c r="AR14" s="1175">
        <f>IF(ISNUMBER((Datos!P14-Datos!Q14)/(Datos!R14-Datos!P14+Datos!Q14)),(Datos!P14-Datos!Q14)/(Datos!R14-Datos!P14+Datos!Q14)," - ")</f>
        <v>3.4143138542350626E-2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572</v>
      </c>
      <c r="G17" s="373">
        <f>IF(ISNUMBER(IF(D_I="SI",Datos!I17,Datos!I17+Datos!AC17)),IF(D_I="SI",Datos!I17,Datos!I17+Datos!AC17)," - ")</f>
        <v>812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546</v>
      </c>
      <c r="X17" s="240">
        <f>IF(ISNUMBER(Datos!Q17),Datos!Q17," - ")</f>
        <v>29</v>
      </c>
      <c r="Y17" s="374">
        <f t="shared" ref="Y17:Y22" si="9">SUM(W17:X17)</f>
        <v>575</v>
      </c>
      <c r="Z17" s="375" t="str">
        <f>IF(ISNUMBER(Datos!CC17),Datos!CC17," - ")</f>
        <v xml:space="preserve"> - </v>
      </c>
      <c r="AA17" s="372">
        <f>IF(ISNUMBER(IF(D_I="SI",Datos!L17,Datos!L17+Datos!AF17)),IF(D_I="SI",Datos!L17,Datos!L17+Datos!AF17)," - ")</f>
        <v>600</v>
      </c>
      <c r="AB17" s="374">
        <f>IF(ISNUMBER(Datos!R17),Datos!R17," - ")</f>
        <v>148</v>
      </c>
      <c r="AC17" s="374">
        <f t="shared" si="8"/>
        <v>748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0.95121951219512191</v>
      </c>
      <c r="AM17" s="284">
        <f>IF(ISNUMBER(((NºAsuntos!I17/NºAsuntos!G17)*11)/factor_trimestre),((NºAsuntos!I17/NºAsuntos!G17)*11)/factor_trimestre," - ")</f>
        <v>3.2967032967032974</v>
      </c>
      <c r="AN17" s="267">
        <f>IF(ISNUMBER('Resol  Asuntos'!D17/NºAsuntos!G17),'Resol  Asuntos'!D17/NºAsuntos!G17," - ")</f>
        <v>0.14652014652014653</v>
      </c>
      <c r="AO17" s="268">
        <f>IF(ISNUMBER((NºAsuntos!C17+NºAsuntos!E17)/NºAsuntos!G17),(NºAsuntos!C17+NºAsuntos!E17)/NºAsuntos!G17," - ")</f>
        <v>2.5384615384615383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2</v>
      </c>
      <c r="Y18" s="374">
        <f t="shared" si="9"/>
        <v>48</v>
      </c>
      <c r="Z18" s="375" t="str">
        <f>IF(ISNUMBER(Datos!CC18),Datos!CC18," - ")</f>
        <v xml:space="preserve"> - </v>
      </c>
      <c r="AA18" s="372">
        <f>IF(ISNUMBER(Datos!L18),Datos!L18,"-")</f>
        <v>41</v>
      </c>
      <c r="AB18" s="374">
        <f>IF(ISNUMBER(Datos!R18),Datos!R18," - ")</f>
        <v>4</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1.0454545454545454</v>
      </c>
      <c r="AM18" s="284">
        <f>IF(ISNUMBER(((NºAsuntos!I18/NºAsuntos!G18)*11)/factor_trimestre),((NºAsuntos!I18/NºAsuntos!G18)*11)/factor_trimestre," - ")</f>
        <v>2.6739130434782612</v>
      </c>
      <c r="AN18" s="267">
        <f>IF(ISNUMBER('Resol  Asuntos'!D18/NºAsuntos!G18),'Resol  Asuntos'!D18/NºAsuntos!G18," - ")</f>
        <v>0.32608695652173914</v>
      </c>
      <c r="AO18" s="268">
        <f>IF(ISNUMBER((NºAsuntos!C18+NºAsuntos!E18)/NºAsuntos!G18),(NºAsuntos!C18+NºAsuntos!E18)/NºAsuntos!G18," - ")</f>
        <v>1.8913043478260869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572</v>
      </c>
      <c r="G23" s="1163">
        <f>SUBTOTAL(9,G16:G22)</f>
        <v>855</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592</v>
      </c>
      <c r="X23" s="1164">
        <f t="shared" si="14"/>
        <v>31</v>
      </c>
      <c r="Y23" s="1165">
        <f t="shared" si="14"/>
        <v>623</v>
      </c>
      <c r="Z23" s="1165">
        <f t="shared" si="14"/>
        <v>0</v>
      </c>
      <c r="AA23" s="1165">
        <f t="shared" si="14"/>
        <v>641</v>
      </c>
      <c r="AB23" s="1165">
        <f t="shared" si="14"/>
        <v>152</v>
      </c>
      <c r="AC23" s="1165">
        <f t="shared" si="14"/>
        <v>793</v>
      </c>
      <c r="AD23" s="1165">
        <f t="shared" si="14"/>
        <v>0</v>
      </c>
      <c r="AE23" s="1169">
        <f t="shared" si="14"/>
        <v>0</v>
      </c>
      <c r="AF23" s="1162">
        <f t="shared" si="14"/>
        <v>0</v>
      </c>
      <c r="AG23" s="1170">
        <f t="shared" si="14"/>
        <v>0</v>
      </c>
      <c r="AH23" s="1167">
        <f t="shared" si="14"/>
        <v>0</v>
      </c>
      <c r="AI23" s="1162">
        <f t="shared" si="14"/>
        <v>95</v>
      </c>
      <c r="AJ23" s="1164">
        <f t="shared" si="14"/>
        <v>0</v>
      </c>
      <c r="AK23" s="1167">
        <f t="shared" si="14"/>
        <v>0</v>
      </c>
      <c r="AL23" s="1171">
        <f>IF(ISNUMBER(NºAsuntos!G23/NºAsuntos!E23),NºAsuntos!G23/NºAsuntos!E23," - ")</f>
        <v>0.95792880258899671</v>
      </c>
      <c r="AM23" s="1171">
        <f>IF(ISNUMBER(((NºAsuntos!I23/NºAsuntos!G23)*11)/factor_trimestre),((NºAsuntos!I23/NºAsuntos!G23)*11)/factor_trimestre," - ")</f>
        <v>3.2483108108108105</v>
      </c>
      <c r="AN23" s="1172">
        <f>IF(ISNUMBER('Resol  Asuntos'!D23/NºAsuntos!G23),'Resol  Asuntos'!D23/NºAsuntos!G23," - ")</f>
        <v>0.16047297297297297</v>
      </c>
      <c r="AO23" s="1173">
        <f>IF(ISNUMBER((NºAsuntos!C23+NºAsuntos!E23)/NºAsuntos!G23),(NºAsuntos!C23+NºAsuntos!E23)/NºAsuntos!G23," - ")</f>
        <v>2.4881756756756759</v>
      </c>
      <c r="AP23" s="1174" t="str">
        <f t="shared" si="2"/>
        <v xml:space="preserve"> - </v>
      </c>
      <c r="AQ23" s="1174">
        <f>IF(ISNUMBER((H23-W23+K23)/(F23)),(H23-W23+K23)/(F23)," - ")</f>
        <v>-1.034965034965035</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587</v>
      </c>
      <c r="G31" s="1118">
        <f t="shared" si="20"/>
        <v>870</v>
      </c>
      <c r="H31" s="1117">
        <f t="shared" si="20"/>
        <v>0</v>
      </c>
      <c r="I31" s="1119">
        <f t="shared" si="20"/>
        <v>0</v>
      </c>
      <c r="J31" s="1119">
        <f t="shared" si="20"/>
        <v>0</v>
      </c>
      <c r="K31" s="1180">
        <f t="shared" si="20"/>
        <v>0</v>
      </c>
      <c r="L31" s="1119">
        <f t="shared" si="20"/>
        <v>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596</v>
      </c>
      <c r="X31" s="1118">
        <f t="shared" si="21"/>
        <v>64</v>
      </c>
      <c r="Y31" s="1125">
        <f t="shared" si="21"/>
        <v>660</v>
      </c>
      <c r="Z31" s="1125">
        <f t="shared" si="21"/>
        <v>0</v>
      </c>
      <c r="AA31" s="1125">
        <f t="shared" si="21"/>
        <v>654</v>
      </c>
      <c r="AB31" s="1125">
        <f t="shared" si="21"/>
        <v>1727</v>
      </c>
      <c r="AC31" s="1125">
        <f t="shared" si="21"/>
        <v>814</v>
      </c>
      <c r="AD31" s="1125">
        <f t="shared" si="21"/>
        <v>0</v>
      </c>
      <c r="AE31" s="1127">
        <f t="shared" si="21"/>
        <v>0</v>
      </c>
      <c r="AF31" s="1128">
        <f t="shared" si="21"/>
        <v>0</v>
      </c>
      <c r="AG31" s="1129">
        <f t="shared" si="21"/>
        <v>0</v>
      </c>
      <c r="AH31" s="1127">
        <f t="shared" si="21"/>
        <v>0</v>
      </c>
      <c r="AI31" s="1117">
        <f t="shared" si="21"/>
        <v>216</v>
      </c>
      <c r="AJ31" s="1117">
        <f t="shared" si="21"/>
        <v>0</v>
      </c>
      <c r="AK31" s="1127">
        <f t="shared" si="21"/>
        <v>0</v>
      </c>
      <c r="AL31" s="1183">
        <f>IF(ISNUMBER(NºAsuntos!G31/NºAsuntos!E31),NºAsuntos!G31/NºAsuntos!E31," - ")</f>
        <v>0.95503746877602003</v>
      </c>
      <c r="AM31" s="1184">
        <f>IF(ISNUMBER(((NºAsuntos!I31/NºAsuntos!G31)*11)/factor_trimestre),((NºAsuntos!I31/NºAsuntos!G31)*11)/factor_trimestre," - ")</f>
        <v>4.6713164777680909</v>
      </c>
      <c r="AN31" s="1184">
        <f>IF(ISNUMBER('Resol  Asuntos'!D31/NºAsuntos!G31),'Resol  Asuntos'!D31/NºAsuntos!G31," - ")</f>
        <v>0.18831734960767219</v>
      </c>
      <c r="AO31" s="1185">
        <f>IF(ISNUMBER((NºAsuntos!C31+NºAsuntos!E31)/NºAsuntos!G31),(NºAsuntos!C31+NºAsuntos!E31)/NºAsuntos!G31," - ")</f>
        <v>2.774193548387097</v>
      </c>
      <c r="AP31" s="1186" t="str">
        <f t="shared" si="2"/>
        <v xml:space="preserve"> - </v>
      </c>
      <c r="AQ31" s="1187">
        <f>IF(OR(ISNUMBER(FIND("01",Criterios!A8,1)),ISNUMBER(FIND("02",Criterios!A8,1)),ISNUMBER(FIND("03",Criterios!A8,1)),ISNUMBER(FIND("04",Criterios!A8,1))),(I31-W31+K31)/(F31-K31),(H31-W31+K31)/(F31-K31))</f>
        <v>-1.0153321976149914</v>
      </c>
      <c r="AR31" s="1188">
        <f>IF(ISNUMBER((Datos!P31-Datos!Q31)/(Datos!R31-Datos!P31+Datos!Q31)),(Datos!P31-Datos!Q31)/(Datos!R31-Datos!P31+Datos!Q31)," - ")</f>
        <v>1.948051948051948E-2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291.58372153922909</v>
      </c>
      <c r="G33" s="277">
        <f>IF(ISNUMBER(STDEV(G8:G30)),STDEV(G8:G30),"-")</f>
        <v>400.03202252772098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273.1749831675138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55.554349193251419</v>
      </c>
      <c r="AJ33" s="276">
        <f t="shared" si="25"/>
        <v>0</v>
      </c>
      <c r="AK33" s="278">
        <f t="shared" si="25"/>
        <v>0</v>
      </c>
      <c r="AL33" s="273">
        <f t="shared" si="25"/>
        <v>0.42175063017371994</v>
      </c>
      <c r="AM33" s="274">
        <f t="shared" si="25"/>
        <v>2.698862863522574</v>
      </c>
      <c r="AN33" s="274">
        <f t="shared" si="25"/>
        <v>0.10792846961859777</v>
      </c>
      <c r="AO33" s="275">
        <f t="shared" si="25"/>
        <v>0.80005782590847252</v>
      </c>
      <c r="AP33" s="317" t="str">
        <f t="shared" si="25"/>
        <v>-</v>
      </c>
      <c r="AQ33" s="318">
        <f t="shared" si="25"/>
        <v>0.54326898619833586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3mknCz2KteNB5KC0aFPm6kJoL24qasgVvtxTiqq6cFHgvt4NTU0AJF+TmEJXPiDnkT5Vuudkr4itI5VwdZ//g==" saltValue="MQ397GsHZ4aRYqKC+OwU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ICOD DE LOS VINOS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-0.5</v>
      </c>
      <c r="F10" s="393">
        <f>IF(ISNUMBER((Datos!K10-Datos!U10)/Datos!U10),(Datos!K10-Datos!U10)/Datos!U10," - ")</f>
        <v>1</v>
      </c>
      <c r="G10" s="394">
        <f>IF(ISNUMBER((Datos!L10-Datos!V10)/Datos!V10),(Datos!L10-Datos!V10)/Datos!V10," - ")</f>
        <v>0.18181818181818182</v>
      </c>
      <c r="H10" s="244">
        <f>IF(ISNUMBER((Datos!M10-Datos!W10)/Datos!W10),(Datos!M10-Datos!W10)/Datos!W10," - ")</f>
        <v>-1</v>
      </c>
      <c r="I10" s="395">
        <f>IF(ISNUMBER((Tasas!C10-Datos!BE10)/Datos!BE10),(Tasas!C10-Datos!BE10)/Datos!BE10," - ")</f>
        <v>-0.40909090909090912</v>
      </c>
      <c r="J10" s="394">
        <f>IF(ISNUMBER((Tasas!D10-Datos!BF10)/Datos!BF10),(Tasas!D10-Datos!BF10)/Datos!BF10," - ")</f>
        <v>-1</v>
      </c>
      <c r="K10" s="396">
        <f>IF(ISNUMBER((Tasas!E10-Datos!BG10)/Datos!BG10),(Tasas!E10-Datos!BG10)/Datos!BG10," - ")</f>
        <v>-0.34615384615384615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0.18627450980392157</v>
      </c>
      <c r="I12" s="395">
        <f>IF(ISNUMBER((Tasas!C12-Datos!BE12)/Datos!BE12),(Tasas!C12-Datos!BE12)/Datos!BE12," - ")</f>
        <v>0.11671138921982348</v>
      </c>
      <c r="J12" s="394">
        <f>IF(ISNUMBER((Tasas!D12-Datos!BF12)/Datos!BF12),(Tasas!D12-Datos!BF12)/Datos!BF12," - ")</f>
        <v>-0.35997946317699875</v>
      </c>
      <c r="K12" s="396">
        <f>IF(ISNUMBER((Tasas!E12-Datos!BG12)/Datos!BG12),(Tasas!E12-Datos!BG12)/Datos!BG12," - ")</f>
        <v>6.029284246173252E-2</v>
      </c>
      <c r="M12" t="e">
        <f>IF(Monitorios="SI",Datos!CE12,0)</f>
        <v>#REF!</v>
      </c>
      <c r="N12" t="e">
        <f>IF(Monitorios="SI",Datos!CF12,0)</f>
        <v>#REF!</v>
      </c>
      <c r="O12" t="e">
        <f>IF(Monitorios="SI",Datos!CG12,0)</f>
        <v>#REF!</v>
      </c>
      <c r="P12" t="e">
        <f>IF(Monitorios="SI",Datos!CH12,0)</f>
        <v>#REF!</v>
      </c>
      <c r="Q12">
        <f>IF(J_V="SI",0,Datos!AG12)</f>
        <v>34</v>
      </c>
      <c r="R12">
        <f>IF(J_V="SI",0,Datos!AH12)</f>
        <v>49</v>
      </c>
      <c r="S12">
        <f>IF(J_V="SI",0,Datos!AI12)</f>
        <v>39</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0.16346153846153846</v>
      </c>
      <c r="I14" s="402">
        <f>IF(ISNUMBER((Tasas!C14-Datos!BE14)/Datos!BE14),(Tasas!C14-Datos!BE14)/Datos!BE14," - ")</f>
        <v>0.11145649281242494</v>
      </c>
      <c r="J14" s="400">
        <f>IF(ISNUMBER((Tasas!D14-Datos!BF14)/Datos!BF14),(Tasas!D14-Datos!BF14)/Datos!BF14," - ")</f>
        <v>-0.37001287001286998</v>
      </c>
      <c r="K14" s="403">
        <f>IF(ISNUMBER((Tasas!E14-Datos!BG14)/Datos!BG14),(Tasas!E14-Datos!BG14)/Datos!BG14," - ")</f>
        <v>5.7314258703147582E-2</v>
      </c>
      <c r="M14" t="e">
        <f>IF(Monitorios="SI",Datos!CE14,0)</f>
        <v>#REF!</v>
      </c>
      <c r="N14" t="e">
        <f>IF(Monitorios="SI",Datos!CF14,0)</f>
        <v>#REF!</v>
      </c>
      <c r="O14" t="e">
        <f>IF(Monitorios="SI",Datos!CG14,0)</f>
        <v>#REF!</v>
      </c>
      <c r="P14" t="e">
        <f>IF(Monitorios="SI",Datos!CH14,0)</f>
        <v>#REF!</v>
      </c>
      <c r="Q14">
        <f>IF(J_V="SI",0,Datos!AG14)</f>
        <v>34</v>
      </c>
      <c r="R14">
        <f>IF(J_V="SI",0,Datos!AH14)</f>
        <v>49</v>
      </c>
      <c r="S14">
        <f>IF(J_V="SI",0,Datos!AI14)</f>
        <v>39</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0.35108153078202997</v>
      </c>
      <c r="E17" s="393">
        <f>IF(ISNUMBER(
   IF(D_I="SI",(Datos!J17-Datos!T17)/Datos!T17,(Datos!J17+Datos!AD17-(Datos!T17+Datos!AL17))/(Datos!T17+Datos!AL17))
     ),IF(D_I="SI",(Datos!J17-Datos!T17)/Datos!T17,(Datos!J17+Datos!AD17-(Datos!T17+Datos!AL17))/(Datos!T17+Datos!AL17))," - ")</f>
        <v>-4.1736227045075125E-2</v>
      </c>
      <c r="F17" s="393">
        <f>IF(ISNUMBER(
   IF(D_I="SI",(Datos!K17-Datos!U17)/Datos!U17,(Datos!K17+Datos!AE17-(Datos!U17+Datos!AM17))/(Datos!U17+Datos!AM17))
     ),IF(D_I="SI",(Datos!K17-Datos!U17)/Datos!U17,(Datos!K17+Datos!AE17-(Datos!U17+Datos!AM17))/(Datos!U17+Datos!AM17))," - ")</f>
        <v>-5.4644808743169399E-3</v>
      </c>
      <c r="G17" s="394">
        <f>IF(ISNUMBER(
   IF(D_I="SI",(Datos!L17-Datos!V17)/Datos!V17,(Datos!L17+Datos!AF17-(Datos!V17+Datos!AN17))/(Datos!V17+Datos!AN17))
     ),IF(D_I="SI",(Datos!L17-Datos!V17)/Datos!V17,(Datos!L17+Datos!AF17-(Datos!V17+Datos!AN17))/(Datos!V17+Datos!AN17))," - ")</f>
        <v>-4.9751243781094526E-3</v>
      </c>
      <c r="H17" s="244">
        <f>IF(ISNUMBER((Datos!M17-Datos!W17)/Datos!W17),(Datos!M17-Datos!W17)/Datos!W17," - ")</f>
        <v>-2.4390243902439025E-2</v>
      </c>
      <c r="I17" s="395">
        <f>IF(ISNUMBER((Tasas!C17-Datos!BE17)/Datos!BE17),(Tasas!C17-Datos!BE17)/Datos!BE17," - ")</f>
        <v>4.9204526816465604E-4</v>
      </c>
      <c r="J17" s="394">
        <f>IF(ISNUMBER((Tasas!D17-Datos!BF17)/Datos!BF17),(Tasas!D17-Datos!BF17)/Datos!BF17," - ")</f>
        <v>-1.9029750737067821E-2</v>
      </c>
      <c r="K17" s="396">
        <f>IF(ISNUMBER((Tasas!E17-Datos!BG17)/Datos!BG17),(Tasas!E17-Datos!BG17)/Datos!BG17," - ")</f>
        <v>0.16134615384615367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0.15789473684210525</v>
      </c>
      <c r="F18" s="393">
        <f>IF(ISNUMBER(
   IF(D_I="SI",(Datos!K18-Datos!U18)/Datos!U18,(Datos!K18+Datos!AE18-(Datos!U18+Datos!AM18))/(Datos!U18+Datos!AM18))
     ),IF(D_I="SI",(Datos!K18-Datos!U18)/Datos!U18,(Datos!K18+Datos!AE18-(Datos!U18+Datos!AM18))/(Datos!U18+Datos!AM18))," - ")</f>
        <v>0.24324324324324326</v>
      </c>
      <c r="G18" s="394">
        <f>IF(ISNUMBER(
   IF(D_I="SI",(Datos!L18-Datos!V18)/Datos!V18,(Datos!L18+Datos!AF18-(Datos!V18+Datos!AN18))/(Datos!V18+Datos!AN18))
     ),IF(D_I="SI",(Datos!L18-Datos!V18)/Datos!V18,(Datos!L18+Datos!AF18-(Datos!V18+Datos!AN18))/(Datos!V18+Datos!AN18))," - ")</f>
        <v>-6.8181818181818177E-2</v>
      </c>
      <c r="H18" s="244">
        <f>IF(ISNUMBER((Datos!M18-Datos!W18)/Datos!W18),(Datos!M18-Datos!W18)/Datos!W18," - ")</f>
        <v>0.66666666666666663</v>
      </c>
      <c r="I18" s="395">
        <f>IF(ISNUMBER((Tasas!C18-Datos!BE18)/Datos!BE18),(Tasas!C18-Datos!BE18)/Datos!BE18," - ")</f>
        <v>-0.25049407114624511</v>
      </c>
      <c r="J18" s="394">
        <f>IF(ISNUMBER((Tasas!D18-Datos!BF18)/Datos!BF18),(Tasas!D18-Datos!BF18)/Datos!BF18," - ")</f>
        <v>0.34057971014492749</v>
      </c>
      <c r="K18" s="396">
        <f>IF(ISNUMBER((Tasas!E18-Datos!BG18)/Datos!BG18),(Tasas!E18-Datos!BG18)/Datos!BG18," - ")</f>
        <v>-0.13607085346215778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0.32763975155279501</v>
      </c>
      <c r="E23" s="399">
        <f>IF(ISNUMBER(
   IF(D_I="SI",(Datos!J23-Datos!T23)/Datos!T23,(Datos!J23+Datos!AD23-(Datos!T23+Datos!AL23))/(Datos!T23+Datos!AL23))
     ),IF(D_I="SI",(Datos!J23-Datos!T23)/Datos!T23,(Datos!J23+Datos!AD23-(Datos!T23+Datos!AL23))/(Datos!T23+Datos!AL23))," - ")</f>
        <v>-2.9827315541601257E-2</v>
      </c>
      <c r="F23" s="399">
        <f>IF(ISNUMBER(
   IF(D_I="SI",(Datos!K23-Datos!U23)/Datos!U23,(Datos!K23+Datos!AE23-(Datos!U23+Datos!AM23))/(Datos!U23+Datos!AM23))
     ),IF(D_I="SI",(Datos!K23-Datos!U23)/Datos!U23,(Datos!K23+Datos!AE23-(Datos!U23+Datos!AM23))/(Datos!U23+Datos!AM23))," - ")</f>
        <v>1.0238907849829351E-2</v>
      </c>
      <c r="G23" s="400">
        <f>IF(ISNUMBER(
   IF(D_I="SI",(Datos!L23-Datos!V23)/Datos!V23,(Datos!L23+Datos!AF23-(Datos!V23+Datos!AN23))/(Datos!V23+Datos!AN23))
     ),IF(D_I="SI",(Datos!L23-Datos!V23)/Datos!V23,(Datos!L23+Datos!AF23-(Datos!V23+Datos!AN23))/(Datos!V23+Datos!AN23))," - ")</f>
        <v>-9.2735703245749607E-3</v>
      </c>
      <c r="H23" s="401">
        <f>IF(ISNUMBER((Datos!M23-Datos!W23)/Datos!W23),(Datos!M23-Datos!W23)/Datos!W23," - ")</f>
        <v>4.3956043956043959E-2</v>
      </c>
      <c r="I23" s="402">
        <f>IF(ISNUMBER((Tasas!C23-Datos!BE23)/Datos!BE23),(Tasas!C23-Datos!BE23)/Datos!BE23," - ")</f>
        <v>-1.9314716571285532E-2</v>
      </c>
      <c r="J23" s="400">
        <f>IF(ISNUMBER((Tasas!D23-Datos!BF23)/Datos!BF23),(Tasas!D23-Datos!BF23)/Datos!BF23," - ")</f>
        <v>3.3375408375408325E-2</v>
      </c>
      <c r="K23" s="403">
        <f>IF(ISNUMBER((Tasas!E23-Datos!BG23)/Datos!BG23),(Tasas!E23-Datos!BG23)/Datos!BG23," - ")</f>
        <v>0.13822868535983288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0.30672823218997364</v>
      </c>
      <c r="E31" s="409">
        <f>IF(ISNUMBER(
   IF(J_V="SI",(Datos!J31-Datos!T31)/Datos!T31,(Datos!J31+Datos!Z31-(Datos!T31+Datos!AH31))/(Datos!T31+Datos!AH31))
     ),IF(J_V="SI",(Datos!J31-Datos!T31)/Datos!T31,(Datos!J31+Datos!Z31-(Datos!T31+Datos!AH31))/(Datos!T31+Datos!AH31))," - ")</f>
        <v>0.13195098963242224</v>
      </c>
      <c r="F31" s="409">
        <f>IF(ISNUMBER(
   IF(J_V="SI",(Datos!K31-Datos!U31)/Datos!U31,(Datos!K31+Datos!AA31-(Datos!U31+Datos!AI31))/(Datos!U31+Datos!AI31))
     ),IF(J_V="SI",(Datos!K31-Datos!U31)/Datos!U31,(Datos!K31+Datos!AA31-(Datos!U31+Datos!AI31))/(Datos!U31+Datos!AI31))," - ")</f>
        <v>0.11251212415130941</v>
      </c>
      <c r="G31" s="410">
        <f>IF(ISNUMBER(
   IF(J_V="SI",(Datos!L31-Datos!V31)/Datos!V31,(Datos!L31+Datos!AB31-(Datos!V31+Datos!AJ31))/(Datos!V31+Datos!AJ31))
     ),IF(J_V="SI",(Datos!L31-Datos!V31)/Datos!V31,(Datos!L31+Datos!AB31-(Datos!V31+Datos!AJ31))/(Datos!V31+Datos!AJ31))," - ")</f>
        <v>0.21249151391717583</v>
      </c>
      <c r="H31" s="411">
        <f>IF(ISNUMBER((Datos!M31-Datos!W31)/Datos!W31),(Datos!M31-Datos!W31)/Datos!W31," - ")</f>
        <v>0.1076923076923077</v>
      </c>
      <c r="I31" s="408">
        <f>IF(ISNUMBER((Tasas!C31-Datos!BE31)/Datos!BE31),(Tasas!C31-Datos!BE31)/Datos!BE31," - ")</f>
        <v>8.9868135003145735E-2</v>
      </c>
      <c r="J31" s="409">
        <f>IF(ISNUMBER((Tasas!D31-Datos!BF31)/Datos!BF31),(Tasas!D31-Datos!BF31)/Datos!BF31," - ")</f>
        <v>-0.20752984716118358</v>
      </c>
      <c r="K31" s="410">
        <f>IF(ISNUMBER((Tasas!E31-Datos!BG31)/Datos!BG31),(Tasas!E31-Datos!BG31)/Datos!BG31," - ")</f>
        <v>0.10989272347190421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0.2723559614234437</v>
      </c>
      <c r="E33" s="303">
        <f t="shared" si="1"/>
        <v>0.27975099589413382</v>
      </c>
      <c r="F33" s="303">
        <f t="shared" si="1"/>
        <v>0.47255156504312196</v>
      </c>
      <c r="G33" s="304">
        <f t="shared" si="1"/>
        <v>0.10854781643032219</v>
      </c>
      <c r="H33" s="310">
        <f t="shared" si="1"/>
        <v>0.5492128380611998</v>
      </c>
      <c r="I33" s="302">
        <f t="shared" si="1"/>
        <v>0.21106116417802465</v>
      </c>
      <c r="J33" s="303">
        <f t="shared" si="1"/>
        <v>0.46234845436143029</v>
      </c>
      <c r="K33" s="304">
        <f t="shared" si="1"/>
        <v>0.19477811523237309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xNsxUdGCEkXDiUd7HmOs8c3T5Kp9t7ssxr5C0BcUOvWPgYmx5O9wzoS60M42OYS/QVFi0wH0qfPRAYTAUhTHg==" saltValue="ITntSfj9jNQI963GhvBJ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